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F:\PRANIT-PUBLISH\WC-3810\WC-3810 Const of Transit Camp, Filed Hostel &amp; CC at Kurnool-3\Package-B\Package-B-Bid docs -Publish\"/>
    </mc:Choice>
  </mc:AlternateContent>
  <xr:revisionPtr revIDLastSave="0" documentId="13_ncr:1_{3225A8C8-9A8E-4418-B3DE-1ED06DFBCA1E}" xr6:coauthVersionLast="47" xr6:coauthVersionMax="47" xr10:uidLastSave="{00000000-0000-0000-0000-000000000000}"/>
  <workbookProtection workbookAlgorithmName="SHA-512" workbookHashValue="DfUI5UWNv4CozR3vjgakGDXw3xnVtmylPeQAztBE83F8ufveRh3KWnfGyxepkDA3YhXkQuPgJ3phywt6RqcY5w==" workbookSaltValue="nsMojVeh87p/JKI7kEZGYA=="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'Schedule-I'!$A$1:$O$353</definedName>
    <definedName name="_xlnm.Print_Area" localSheetId="5">'Schedule-II'!$A$1:$M$141</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'Schedule-I'!$A$1:$O$352</definedName>
    <definedName name="Z_71DFD631_F0FC_4D77_B088_495FC5677788_.wvu.PrintArea" localSheetId="5" hidden="1">'Schedule-II'!$A$1:$L$140</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'Schedule-I'!$A$1:$O$353</definedName>
    <definedName name="Z_768FBB31_C98F_42D8_8A21_9E4C92CB0C4E_.wvu.PrintArea" localSheetId="5" hidden="1">'Schedule-II'!$A$1:$M$141</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'Schedule-I'!$A$1:$O$353</definedName>
    <definedName name="Z_F3854C08_3477_4F6D_851C_40DFA3C6F6FE_.wvu.PrintArea" localSheetId="5" hidden="1">'Schedule-II'!$A$1:$M$141</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'Schedule-I'!$A$1:$O$352</definedName>
    <definedName name="Z_FAE469C4_CC0E_407B_871F_7B3C94956CEC_.wvu.PrintArea" localSheetId="5" hidden="1">'Schedule-II'!$A$1:$L$140</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6" l="1"/>
  <c r="P9" i="6"/>
  <c r="M12" i="6" l="1"/>
  <c r="M130" i="6"/>
  <c r="M90" i="6"/>
  <c r="M50" i="6"/>
  <c r="M30" i="6"/>
  <c r="M129" i="6"/>
  <c r="M109" i="6"/>
  <c r="M89" i="6"/>
  <c r="M69" i="6"/>
  <c r="M29" i="6"/>
  <c r="M68" i="6"/>
  <c r="M127" i="6"/>
  <c r="M87" i="6"/>
  <c r="M47" i="6"/>
  <c r="M27" i="6"/>
  <c r="M126" i="6"/>
  <c r="M66" i="6"/>
  <c r="M26" i="6"/>
  <c r="M125" i="6"/>
  <c r="M85" i="6"/>
  <c r="M65" i="6"/>
  <c r="M64" i="6"/>
  <c r="M123" i="6"/>
  <c r="M63" i="6"/>
  <c r="M42" i="6"/>
  <c r="M121" i="6"/>
  <c r="M101" i="6"/>
  <c r="M61" i="6"/>
  <c r="M120" i="6"/>
  <c r="M60" i="6"/>
  <c r="M40" i="6"/>
  <c r="M99" i="6"/>
  <c r="M59" i="6"/>
  <c r="M19" i="6"/>
  <c r="M138" i="6"/>
  <c r="M118" i="6"/>
  <c r="M98" i="6"/>
  <c r="M78" i="6"/>
  <c r="M58" i="6"/>
  <c r="M38" i="6"/>
  <c r="M18" i="6"/>
  <c r="M137" i="6"/>
  <c r="M117" i="6"/>
  <c r="M97" i="6"/>
  <c r="M77" i="6"/>
  <c r="M57" i="6"/>
  <c r="M37" i="6"/>
  <c r="M17" i="6"/>
  <c r="M136" i="6"/>
  <c r="M116" i="6"/>
  <c r="M96" i="6"/>
  <c r="M76" i="6"/>
  <c r="M56" i="6"/>
  <c r="M36" i="6"/>
  <c r="M16" i="6"/>
  <c r="M131" i="6"/>
  <c r="M111" i="6"/>
  <c r="M91" i="6"/>
  <c r="M71" i="6"/>
  <c r="M51" i="6"/>
  <c r="M31" i="6"/>
  <c r="M110" i="6"/>
  <c r="M70" i="6"/>
  <c r="M128" i="6"/>
  <c r="M88" i="6"/>
  <c r="M28" i="6"/>
  <c r="M67" i="6"/>
  <c r="M106" i="6"/>
  <c r="M86" i="6"/>
  <c r="M46" i="6"/>
  <c r="M105" i="6"/>
  <c r="M45" i="6"/>
  <c r="M25" i="6"/>
  <c r="M124" i="6"/>
  <c r="M104" i="6"/>
  <c r="M44" i="6"/>
  <c r="M24" i="6"/>
  <c r="M103" i="6"/>
  <c r="M43" i="6"/>
  <c r="M23" i="6"/>
  <c r="M122" i="6"/>
  <c r="M102" i="6"/>
  <c r="M62" i="6"/>
  <c r="M22" i="6"/>
  <c r="M81" i="6"/>
  <c r="M41" i="6"/>
  <c r="M21" i="6"/>
  <c r="M100" i="6"/>
  <c r="M80" i="6"/>
  <c r="M20" i="6"/>
  <c r="M119" i="6"/>
  <c r="M79" i="6"/>
  <c r="M39" i="6"/>
  <c r="M135" i="6"/>
  <c r="M115" i="6"/>
  <c r="M95" i="6"/>
  <c r="M75" i="6"/>
  <c r="M55" i="6"/>
  <c r="M35" i="6"/>
  <c r="M15" i="6"/>
  <c r="M134" i="6"/>
  <c r="M114" i="6"/>
  <c r="M94" i="6"/>
  <c r="M74" i="6"/>
  <c r="M54" i="6"/>
  <c r="M34" i="6"/>
  <c r="M14" i="6"/>
  <c r="M133" i="6"/>
  <c r="M113" i="6"/>
  <c r="M93" i="6"/>
  <c r="M73" i="6"/>
  <c r="M53" i="6"/>
  <c r="M13" i="6"/>
  <c r="M132" i="6"/>
  <c r="M112" i="6"/>
  <c r="M92" i="6"/>
  <c r="M72" i="6"/>
  <c r="M52" i="6"/>
  <c r="M32" i="6"/>
  <c r="M291" i="5"/>
  <c r="M76" i="5"/>
  <c r="N76" i="5" s="1"/>
  <c r="O76" i="5" s="1"/>
  <c r="K138" i="6" l="1"/>
  <c r="L138" i="6" s="1"/>
  <c r="K137" i="6"/>
  <c r="L137" i="6" s="1"/>
  <c r="K136" i="6"/>
  <c r="L136" i="6" s="1"/>
  <c r="K135" i="6"/>
  <c r="L135" i="6" s="1"/>
  <c r="K134" i="6"/>
  <c r="L134" i="6" s="1"/>
  <c r="K133" i="6"/>
  <c r="L133" i="6" s="1"/>
  <c r="K132" i="6"/>
  <c r="L132" i="6" s="1"/>
  <c r="K131" i="6"/>
  <c r="L131" i="6" s="1"/>
  <c r="K130" i="6"/>
  <c r="L130" i="6" s="1"/>
  <c r="K129" i="6"/>
  <c r="L129" i="6" s="1"/>
  <c r="K128" i="6"/>
  <c r="L128" i="6" s="1"/>
  <c r="K127" i="6"/>
  <c r="L127" i="6" s="1"/>
  <c r="K126" i="6"/>
  <c r="L126" i="6" s="1"/>
  <c r="K125" i="6"/>
  <c r="L125" i="6" s="1"/>
  <c r="K124" i="6"/>
  <c r="L124" i="6" s="1"/>
  <c r="K123" i="6"/>
  <c r="L123" i="6" s="1"/>
  <c r="K122" i="6"/>
  <c r="L122" i="6" s="1"/>
  <c r="K121" i="6"/>
  <c r="L121" i="6" s="1"/>
  <c r="K120" i="6"/>
  <c r="L120" i="6" s="1"/>
  <c r="K119" i="6"/>
  <c r="L119" i="6" s="1"/>
  <c r="K118" i="6"/>
  <c r="L118" i="6" s="1"/>
  <c r="K117" i="6"/>
  <c r="L117" i="6" s="1"/>
  <c r="K116" i="6"/>
  <c r="L116" i="6" s="1"/>
  <c r="K115" i="6"/>
  <c r="L115" i="6" s="1"/>
  <c r="K114" i="6"/>
  <c r="L114" i="6" s="1"/>
  <c r="K113" i="6"/>
  <c r="L113" i="6" s="1"/>
  <c r="K112" i="6"/>
  <c r="L112" i="6" s="1"/>
  <c r="K111" i="6"/>
  <c r="L111" i="6" s="1"/>
  <c r="K110" i="6"/>
  <c r="L110" i="6" s="1"/>
  <c r="K109" i="6"/>
  <c r="L109" i="6" s="1"/>
  <c r="K81" i="6"/>
  <c r="L81" i="6" s="1"/>
  <c r="K80" i="6"/>
  <c r="L80" i="6" s="1"/>
  <c r="K79" i="6"/>
  <c r="L79" i="6" s="1"/>
  <c r="K78" i="6"/>
  <c r="L78" i="6" s="1"/>
  <c r="K77" i="6"/>
  <c r="L77" i="6" s="1"/>
  <c r="K76" i="6"/>
  <c r="L76" i="6" s="1"/>
  <c r="K75" i="6"/>
  <c r="L75" i="6" s="1"/>
  <c r="K74" i="6"/>
  <c r="L74" i="6" s="1"/>
  <c r="K73" i="6"/>
  <c r="L73" i="6" s="1"/>
  <c r="K72" i="6"/>
  <c r="L72" i="6" s="1"/>
  <c r="K71" i="6"/>
  <c r="L71" i="6" s="1"/>
  <c r="K70" i="6"/>
  <c r="L70" i="6" s="1"/>
  <c r="K69" i="6"/>
  <c r="L69" i="6" s="1"/>
  <c r="K68" i="6"/>
  <c r="L68" i="6" s="1"/>
  <c r="K67" i="6"/>
  <c r="L67" i="6" s="1"/>
  <c r="K66" i="6"/>
  <c r="L66" i="6" s="1"/>
  <c r="K65" i="6"/>
  <c r="L65" i="6" s="1"/>
  <c r="K64" i="6"/>
  <c r="L64" i="6" s="1"/>
  <c r="K63" i="6"/>
  <c r="L63" i="6" s="1"/>
  <c r="K62" i="6"/>
  <c r="L62" i="6" s="1"/>
  <c r="K61" i="6"/>
  <c r="L61" i="6" s="1"/>
  <c r="K60" i="6"/>
  <c r="L60" i="6" s="1"/>
  <c r="K59" i="6"/>
  <c r="L59" i="6" s="1"/>
  <c r="K58" i="6"/>
  <c r="L58" i="6" s="1"/>
  <c r="K57" i="6"/>
  <c r="L57" i="6" s="1"/>
  <c r="K56" i="6"/>
  <c r="L56" i="6" s="1"/>
  <c r="K55" i="6"/>
  <c r="L55" i="6" s="1"/>
  <c r="K54" i="6"/>
  <c r="L54" i="6" s="1"/>
  <c r="K53" i="6"/>
  <c r="L53" i="6" s="1"/>
  <c r="K52" i="6"/>
  <c r="L52" i="6" s="1"/>
  <c r="K51" i="6"/>
  <c r="L51" i="6" s="1"/>
  <c r="K50" i="6"/>
  <c r="L50" i="6" s="1"/>
  <c r="L139" i="6" l="1"/>
  <c r="K139" i="6"/>
  <c r="L82" i="6"/>
  <c r="K82" i="6"/>
  <c r="M345" i="5"/>
  <c r="N345" i="5" s="1"/>
  <c r="O345" i="5" s="1"/>
  <c r="M344" i="5"/>
  <c r="N344" i="5" s="1"/>
  <c r="O344" i="5" s="1"/>
  <c r="M343" i="5"/>
  <c r="N343" i="5" s="1"/>
  <c r="O343" i="5" s="1"/>
  <c r="M342" i="5"/>
  <c r="N342" i="5" s="1"/>
  <c r="O342" i="5" s="1"/>
  <c r="M341" i="5"/>
  <c r="N341" i="5" s="1"/>
  <c r="O341" i="5" s="1"/>
  <c r="M340" i="5"/>
  <c r="N340" i="5" s="1"/>
  <c r="O340" i="5" s="1"/>
  <c r="M339" i="5"/>
  <c r="N339" i="5" s="1"/>
  <c r="O339" i="5" s="1"/>
  <c r="M338" i="5"/>
  <c r="N338" i="5" s="1"/>
  <c r="O338" i="5" s="1"/>
  <c r="M337" i="5"/>
  <c r="N337" i="5" s="1"/>
  <c r="O337" i="5" s="1"/>
  <c r="M336" i="5"/>
  <c r="N336" i="5" s="1"/>
  <c r="O336" i="5" s="1"/>
  <c r="M335" i="5"/>
  <c r="N335" i="5" s="1"/>
  <c r="O335" i="5" s="1"/>
  <c r="M334" i="5"/>
  <c r="N334" i="5" s="1"/>
  <c r="O334" i="5" s="1"/>
  <c r="M333" i="5"/>
  <c r="N333" i="5" s="1"/>
  <c r="O333" i="5" s="1"/>
  <c r="M332" i="5"/>
  <c r="N332" i="5" s="1"/>
  <c r="O332" i="5" s="1"/>
  <c r="M331" i="5"/>
  <c r="N331" i="5" s="1"/>
  <c r="O331" i="5" s="1"/>
  <c r="M330" i="5"/>
  <c r="N330" i="5" s="1"/>
  <c r="O330" i="5" s="1"/>
  <c r="M329" i="5"/>
  <c r="N329" i="5" s="1"/>
  <c r="O329" i="5" s="1"/>
  <c r="M328" i="5"/>
  <c r="N328" i="5" s="1"/>
  <c r="O328" i="5" s="1"/>
  <c r="M327" i="5"/>
  <c r="N327" i="5" s="1"/>
  <c r="O327" i="5" s="1"/>
  <c r="M326" i="5"/>
  <c r="N326" i="5" s="1"/>
  <c r="O326" i="5" s="1"/>
  <c r="M325" i="5"/>
  <c r="N325" i="5" s="1"/>
  <c r="O325" i="5" s="1"/>
  <c r="M324" i="5"/>
  <c r="N324" i="5" s="1"/>
  <c r="O324" i="5" s="1"/>
  <c r="M323" i="5"/>
  <c r="N323" i="5" s="1"/>
  <c r="O323" i="5" s="1"/>
  <c r="M322" i="5"/>
  <c r="N322" i="5" s="1"/>
  <c r="O322" i="5" s="1"/>
  <c r="M321" i="5"/>
  <c r="N321" i="5" s="1"/>
  <c r="O321" i="5" s="1"/>
  <c r="M320" i="5"/>
  <c r="N320" i="5" s="1"/>
  <c r="O320" i="5" s="1"/>
  <c r="M319" i="5"/>
  <c r="N319" i="5" s="1"/>
  <c r="O319" i="5" s="1"/>
  <c r="M318" i="5"/>
  <c r="N318" i="5" s="1"/>
  <c r="O318" i="5" s="1"/>
  <c r="O346" i="5" s="1"/>
  <c r="M244" i="5"/>
  <c r="N244" i="5" s="1"/>
  <c r="O244" i="5" s="1"/>
  <c r="M241" i="5"/>
  <c r="N241" i="5" s="1"/>
  <c r="O241" i="5" s="1"/>
  <c r="M286" i="5"/>
  <c r="N286" i="5" s="1"/>
  <c r="O286" i="5" s="1"/>
  <c r="M285" i="5"/>
  <c r="N285" i="5" s="1"/>
  <c r="O285" i="5" s="1"/>
  <c r="M283" i="5"/>
  <c r="N283" i="5" s="1"/>
  <c r="O283" i="5" s="1"/>
  <c r="M282" i="5"/>
  <c r="N282" i="5" s="1"/>
  <c r="O282" i="5" s="1"/>
  <c r="M281" i="5"/>
  <c r="N281" i="5" s="1"/>
  <c r="O281" i="5" s="1"/>
  <c r="M280" i="5"/>
  <c r="N280" i="5" s="1"/>
  <c r="O280" i="5" s="1"/>
  <c r="M278" i="5"/>
  <c r="N278" i="5" s="1"/>
  <c r="O278" i="5" s="1"/>
  <c r="M277" i="5"/>
  <c r="N277" i="5" s="1"/>
  <c r="O277" i="5" s="1"/>
  <c r="M276" i="5"/>
  <c r="N276" i="5" s="1"/>
  <c r="O276" i="5" s="1"/>
  <c r="M275" i="5"/>
  <c r="N275" i="5" s="1"/>
  <c r="O275" i="5" s="1"/>
  <c r="M274" i="5"/>
  <c r="N274" i="5" s="1"/>
  <c r="O274" i="5" s="1"/>
  <c r="M273" i="5"/>
  <c r="N273" i="5" s="1"/>
  <c r="O273" i="5" s="1"/>
  <c r="M272" i="5"/>
  <c r="N272" i="5" s="1"/>
  <c r="O272" i="5" s="1"/>
  <c r="M271" i="5"/>
  <c r="N271" i="5" s="1"/>
  <c r="O271" i="5" s="1"/>
  <c r="M270" i="5"/>
  <c r="N270" i="5" s="1"/>
  <c r="O270" i="5" s="1"/>
  <c r="M269" i="5"/>
  <c r="N269" i="5" s="1"/>
  <c r="O269" i="5" s="1"/>
  <c r="M268" i="5"/>
  <c r="N268" i="5" s="1"/>
  <c r="O268" i="5" s="1"/>
  <c r="M267" i="5"/>
  <c r="N267" i="5" s="1"/>
  <c r="O267" i="5" s="1"/>
  <c r="M266" i="5"/>
  <c r="N266" i="5" s="1"/>
  <c r="O266" i="5" s="1"/>
  <c r="M265" i="5"/>
  <c r="N265" i="5" s="1"/>
  <c r="O265" i="5" s="1"/>
  <c r="M264" i="5"/>
  <c r="N264" i="5" s="1"/>
  <c r="O264" i="5" s="1"/>
  <c r="M263" i="5"/>
  <c r="N263" i="5" s="1"/>
  <c r="O263" i="5" s="1"/>
  <c r="M262" i="5"/>
  <c r="N262" i="5" s="1"/>
  <c r="O262" i="5" s="1"/>
  <c r="M261" i="5"/>
  <c r="N261" i="5" s="1"/>
  <c r="O261" i="5" s="1"/>
  <c r="M260" i="5"/>
  <c r="N260" i="5" s="1"/>
  <c r="O260" i="5" s="1"/>
  <c r="M259" i="5"/>
  <c r="N259" i="5" s="1"/>
  <c r="O259" i="5" s="1"/>
  <c r="M258" i="5"/>
  <c r="N258" i="5" s="1"/>
  <c r="O258" i="5" s="1"/>
  <c r="M257" i="5"/>
  <c r="N257" i="5" s="1"/>
  <c r="O257" i="5" s="1"/>
  <c r="M256" i="5"/>
  <c r="N256" i="5" s="1"/>
  <c r="O256" i="5" s="1"/>
  <c r="M255" i="5"/>
  <c r="N255" i="5" s="1"/>
  <c r="O255" i="5" s="1"/>
  <c r="M254" i="5"/>
  <c r="N254" i="5" s="1"/>
  <c r="O254" i="5" s="1"/>
  <c r="M253" i="5"/>
  <c r="N253" i="5" s="1"/>
  <c r="O253" i="5" s="1"/>
  <c r="M252" i="5"/>
  <c r="N252" i="5" s="1"/>
  <c r="O252" i="5" s="1"/>
  <c r="M251" i="5"/>
  <c r="N251" i="5" s="1"/>
  <c r="O251" i="5" s="1"/>
  <c r="M250" i="5"/>
  <c r="N250" i="5" s="1"/>
  <c r="O250" i="5" s="1"/>
  <c r="M249" i="5"/>
  <c r="N249" i="5" s="1"/>
  <c r="O249" i="5" s="1"/>
  <c r="M248" i="5"/>
  <c r="N248" i="5" s="1"/>
  <c r="O248" i="5" s="1"/>
  <c r="M247" i="5"/>
  <c r="N247" i="5" s="1"/>
  <c r="O247" i="5" s="1"/>
  <c r="M246" i="5"/>
  <c r="N246" i="5" s="1"/>
  <c r="O246" i="5" s="1"/>
  <c r="M243" i="5"/>
  <c r="N243" i="5" s="1"/>
  <c r="O243" i="5" s="1"/>
  <c r="M242" i="5"/>
  <c r="N242" i="5" s="1"/>
  <c r="O242" i="5" s="1"/>
  <c r="M240" i="5"/>
  <c r="N240" i="5" s="1"/>
  <c r="O240" i="5" s="1"/>
  <c r="M239" i="5"/>
  <c r="N239" i="5" s="1"/>
  <c r="O239" i="5" s="1"/>
  <c r="M238" i="5"/>
  <c r="N238" i="5" s="1"/>
  <c r="O238" i="5" s="1"/>
  <c r="M237" i="5"/>
  <c r="N237" i="5" s="1"/>
  <c r="O237" i="5" s="1"/>
  <c r="M236" i="5"/>
  <c r="N236" i="5" s="1"/>
  <c r="O236" i="5" s="1"/>
  <c r="M235" i="5"/>
  <c r="N235" i="5" s="1"/>
  <c r="O235" i="5" s="1"/>
  <c r="M234" i="5"/>
  <c r="N234" i="5" s="1"/>
  <c r="O234" i="5" s="1"/>
  <c r="M233" i="5"/>
  <c r="N233" i="5" s="1"/>
  <c r="O233" i="5" s="1"/>
  <c r="M232" i="5"/>
  <c r="N232" i="5" s="1"/>
  <c r="O232" i="5" s="1"/>
  <c r="M231" i="5"/>
  <c r="N231" i="5" s="1"/>
  <c r="O231" i="5" s="1"/>
  <c r="M230" i="5"/>
  <c r="N230" i="5" s="1"/>
  <c r="O230" i="5" s="1"/>
  <c r="M229" i="5"/>
  <c r="N229" i="5" s="1"/>
  <c r="O229" i="5" s="1"/>
  <c r="M228" i="5"/>
  <c r="N228" i="5" s="1"/>
  <c r="O228" i="5" s="1"/>
  <c r="M227" i="5"/>
  <c r="N227" i="5" s="1"/>
  <c r="O227" i="5" s="1"/>
  <c r="M226" i="5"/>
  <c r="N226" i="5" s="1"/>
  <c r="O226" i="5" s="1"/>
  <c r="M225" i="5"/>
  <c r="N225" i="5" s="1"/>
  <c r="O225" i="5" s="1"/>
  <c r="M224" i="5"/>
  <c r="N224" i="5" s="1"/>
  <c r="O224" i="5" s="1"/>
  <c r="M223" i="5"/>
  <c r="N223" i="5" s="1"/>
  <c r="O223" i="5" s="1"/>
  <c r="M222" i="5"/>
  <c r="N222" i="5" s="1"/>
  <c r="O222" i="5" s="1"/>
  <c r="M221" i="5"/>
  <c r="N221" i="5" s="1"/>
  <c r="O221" i="5" s="1"/>
  <c r="M220" i="5"/>
  <c r="N220" i="5" s="1"/>
  <c r="O220" i="5" s="1"/>
  <c r="M219" i="5"/>
  <c r="N219" i="5" s="1"/>
  <c r="O219" i="5" s="1"/>
  <c r="M218" i="5"/>
  <c r="N218" i="5" s="1"/>
  <c r="O218" i="5" s="1"/>
  <c r="M217" i="5"/>
  <c r="N217" i="5" s="1"/>
  <c r="O217" i="5" s="1"/>
  <c r="M216" i="5"/>
  <c r="N216" i="5" s="1"/>
  <c r="O216" i="5" s="1"/>
  <c r="M215" i="5"/>
  <c r="N215" i="5" s="1"/>
  <c r="O215" i="5" s="1"/>
  <c r="M214" i="5"/>
  <c r="N214" i="5" s="1"/>
  <c r="O214" i="5" s="1"/>
  <c r="M213" i="5"/>
  <c r="N213" i="5" s="1"/>
  <c r="O213" i="5" s="1"/>
  <c r="M212" i="5"/>
  <c r="N212" i="5" s="1"/>
  <c r="O212" i="5" s="1"/>
  <c r="M211" i="5"/>
  <c r="N211" i="5" s="1"/>
  <c r="O211" i="5" s="1"/>
  <c r="M210" i="5"/>
  <c r="N210" i="5" s="1"/>
  <c r="O210" i="5" s="1"/>
  <c r="M209" i="5"/>
  <c r="N209" i="5" s="1"/>
  <c r="O209" i="5" s="1"/>
  <c r="M208" i="5"/>
  <c r="N208" i="5" s="1"/>
  <c r="O208" i="5" s="1"/>
  <c r="M207" i="5"/>
  <c r="N207" i="5" s="1"/>
  <c r="O207" i="5" s="1"/>
  <c r="M206" i="5"/>
  <c r="N206" i="5" s="1"/>
  <c r="O206" i="5" s="1"/>
  <c r="M205" i="5"/>
  <c r="N205" i="5" s="1"/>
  <c r="O205" i="5" s="1"/>
  <c r="M204" i="5"/>
  <c r="N204" i="5" s="1"/>
  <c r="O204" i="5" s="1"/>
  <c r="M203" i="5"/>
  <c r="N203" i="5" s="1"/>
  <c r="O203" i="5" s="1"/>
  <c r="M202" i="5"/>
  <c r="N202" i="5" s="1"/>
  <c r="O202" i="5" s="1"/>
  <c r="M201" i="5"/>
  <c r="N201" i="5" s="1"/>
  <c r="O201" i="5" s="1"/>
  <c r="M200" i="5"/>
  <c r="N200" i="5" s="1"/>
  <c r="O200" i="5" s="1"/>
  <c r="M199" i="5"/>
  <c r="N199" i="5" s="1"/>
  <c r="O199" i="5" s="1"/>
  <c r="M198" i="5"/>
  <c r="N198" i="5" s="1"/>
  <c r="O198" i="5" s="1"/>
  <c r="M197" i="5"/>
  <c r="N197" i="5" s="1"/>
  <c r="O197" i="5" s="1"/>
  <c r="M196" i="5"/>
  <c r="N196" i="5" s="1"/>
  <c r="O196" i="5" s="1"/>
  <c r="M195" i="5"/>
  <c r="N195" i="5" s="1"/>
  <c r="O195" i="5" s="1"/>
  <c r="M194" i="5"/>
  <c r="N194" i="5" s="1"/>
  <c r="O194" i="5" s="1"/>
  <c r="M193" i="5"/>
  <c r="N193" i="5" s="1"/>
  <c r="O193" i="5" s="1"/>
  <c r="M192" i="5"/>
  <c r="N192" i="5" s="1"/>
  <c r="O192" i="5" s="1"/>
  <c r="M191" i="5"/>
  <c r="N191" i="5" s="1"/>
  <c r="O191" i="5" s="1"/>
  <c r="M190" i="5"/>
  <c r="N190" i="5" s="1"/>
  <c r="O190" i="5" s="1"/>
  <c r="M189" i="5"/>
  <c r="N189" i="5" s="1"/>
  <c r="O189" i="5" s="1"/>
  <c r="M188" i="5"/>
  <c r="N188" i="5" s="1"/>
  <c r="O188" i="5" s="1"/>
  <c r="M187" i="5"/>
  <c r="N187" i="5" s="1"/>
  <c r="O187" i="5" s="1"/>
  <c r="M186" i="5"/>
  <c r="N186" i="5" s="1"/>
  <c r="O186" i="5" s="1"/>
  <c r="M185" i="5"/>
  <c r="N185" i="5" s="1"/>
  <c r="O185" i="5" s="1"/>
  <c r="M184" i="5"/>
  <c r="N184" i="5" s="1"/>
  <c r="O184" i="5" s="1"/>
  <c r="M183" i="5"/>
  <c r="N183" i="5" s="1"/>
  <c r="O183" i="5" s="1"/>
  <c r="M182" i="5"/>
  <c r="N182" i="5" s="1"/>
  <c r="O182" i="5" s="1"/>
  <c r="M181" i="5"/>
  <c r="N181" i="5" s="1"/>
  <c r="O181" i="5" s="1"/>
  <c r="M180" i="5"/>
  <c r="N180" i="5" s="1"/>
  <c r="O180" i="5" s="1"/>
  <c r="M179" i="5"/>
  <c r="N179" i="5" s="1"/>
  <c r="O179" i="5" s="1"/>
  <c r="M178" i="5"/>
  <c r="N178" i="5" s="1"/>
  <c r="O178" i="5" s="1"/>
  <c r="M177" i="5"/>
  <c r="N177" i="5" s="1"/>
  <c r="O177" i="5" s="1"/>
  <c r="M176" i="5"/>
  <c r="N176" i="5" s="1"/>
  <c r="O176" i="5" s="1"/>
  <c r="M175" i="5"/>
  <c r="N175" i="5" s="1"/>
  <c r="O175" i="5" s="1"/>
  <c r="M174" i="5"/>
  <c r="N174" i="5" s="1"/>
  <c r="O174" i="5" s="1"/>
  <c r="M173" i="5"/>
  <c r="N173" i="5" s="1"/>
  <c r="O173" i="5" s="1"/>
  <c r="M172" i="5"/>
  <c r="N172" i="5" s="1"/>
  <c r="O172" i="5" s="1"/>
  <c r="M171" i="5"/>
  <c r="N171" i="5" s="1"/>
  <c r="O171" i="5" s="1"/>
  <c r="M170" i="5"/>
  <c r="N170" i="5" s="1"/>
  <c r="O170" i="5" s="1"/>
  <c r="M169" i="5"/>
  <c r="N169" i="5" s="1"/>
  <c r="O169" i="5" s="1"/>
  <c r="M168" i="5"/>
  <c r="N168" i="5" s="1"/>
  <c r="O168" i="5" s="1"/>
  <c r="M167" i="5"/>
  <c r="N167" i="5" s="1"/>
  <c r="O167" i="5" s="1"/>
  <c r="M166" i="5"/>
  <c r="N166" i="5" s="1"/>
  <c r="O166" i="5" s="1"/>
  <c r="M165" i="5"/>
  <c r="N165" i="5" s="1"/>
  <c r="O165" i="5" s="1"/>
  <c r="M164" i="5"/>
  <c r="N164" i="5" s="1"/>
  <c r="O164" i="5" s="1"/>
  <c r="M163" i="5"/>
  <c r="N163" i="5" s="1"/>
  <c r="O163" i="5" s="1"/>
  <c r="M162" i="5"/>
  <c r="N162" i="5" s="1"/>
  <c r="M161" i="5"/>
  <c r="N161" i="5" s="1"/>
  <c r="O161" i="5" s="1"/>
  <c r="M160" i="5"/>
  <c r="N160" i="5" s="1"/>
  <c r="O160" i="5" s="1"/>
  <c r="M159" i="5"/>
  <c r="N159" i="5" s="1"/>
  <c r="O159" i="5" s="1"/>
  <c r="M158" i="5"/>
  <c r="N158" i="5" s="1"/>
  <c r="O158" i="5" s="1"/>
  <c r="M157" i="5"/>
  <c r="N157" i="5" s="1"/>
  <c r="O157" i="5" s="1"/>
  <c r="M156" i="5"/>
  <c r="N156" i="5" s="1"/>
  <c r="O156" i="5" s="1"/>
  <c r="M155" i="5"/>
  <c r="N155" i="5" s="1"/>
  <c r="O155" i="5" s="1"/>
  <c r="M154" i="5"/>
  <c r="N154" i="5" s="1"/>
  <c r="O154" i="5" s="1"/>
  <c r="M153" i="5"/>
  <c r="N153" i="5" s="1"/>
  <c r="O153" i="5" s="1"/>
  <c r="M152" i="5"/>
  <c r="N152" i="5" s="1"/>
  <c r="O152" i="5" s="1"/>
  <c r="M151" i="5"/>
  <c r="N151" i="5" s="1"/>
  <c r="O151" i="5" s="1"/>
  <c r="M150" i="5"/>
  <c r="N150" i="5" s="1"/>
  <c r="O150" i="5" s="1"/>
  <c r="M149" i="5"/>
  <c r="N149" i="5" s="1"/>
  <c r="O149" i="5" s="1"/>
  <c r="M148" i="5"/>
  <c r="N148" i="5" s="1"/>
  <c r="O148" i="5" s="1"/>
  <c r="M147" i="5"/>
  <c r="N147" i="5" s="1"/>
  <c r="O147" i="5" s="1"/>
  <c r="M146" i="5"/>
  <c r="N146" i="5" s="1"/>
  <c r="O146" i="5" s="1"/>
  <c r="M145" i="5"/>
  <c r="N145" i="5" s="1"/>
  <c r="O145" i="5" s="1"/>
  <c r="M144" i="5"/>
  <c r="N144" i="5" s="1"/>
  <c r="O144" i="5" s="1"/>
  <c r="M143" i="5"/>
  <c r="N143" i="5" s="1"/>
  <c r="O143" i="5" s="1"/>
  <c r="M141" i="5"/>
  <c r="N141" i="5" s="1"/>
  <c r="O141" i="5" s="1"/>
  <c r="A141" i="5"/>
  <c r="A143" i="5" s="1"/>
  <c r="A144" i="5" s="1"/>
  <c r="A145" i="5" s="1"/>
  <c r="A146" i="5" s="1"/>
  <c r="A147" i="5" s="1"/>
  <c r="A148" i="5" s="1"/>
  <c r="A149" i="5" s="1"/>
  <c r="A150" i="5" s="1"/>
  <c r="A151" i="5" s="1"/>
  <c r="A152" i="5" s="1"/>
  <c r="A153" i="5" s="1"/>
  <c r="A154" i="5" s="1"/>
  <c r="A155" i="5" s="1"/>
  <c r="A156" i="5" s="1"/>
  <c r="A157" i="5" s="1"/>
  <c r="A158" i="5" s="1"/>
  <c r="A160" i="5" s="1"/>
  <c r="A161" i="5" s="1"/>
  <c r="A162" i="5" s="1"/>
  <c r="A163" i="5" s="1"/>
  <c r="A164" i="5" s="1"/>
  <c r="A165" i="5" s="1"/>
  <c r="A166" i="5" s="1"/>
  <c r="A167" i="5" s="1"/>
  <c r="A168" i="5" s="1"/>
  <c r="A169" i="5" s="1"/>
  <c r="A170" i="5" s="1"/>
  <c r="A171" i="5" s="1"/>
  <c r="A172" i="5" s="1"/>
  <c r="A173" i="5" s="1"/>
  <c r="A174" i="5" s="1"/>
  <c r="A176" i="5" s="1"/>
  <c r="A178" i="5" s="1"/>
  <c r="A179" i="5" s="1"/>
  <c r="A180" i="5" s="1"/>
  <c r="A181" i="5" s="1"/>
  <c r="A182" i="5" s="1"/>
  <c r="A184" i="5" s="1"/>
  <c r="M140" i="5"/>
  <c r="N140" i="5" s="1"/>
  <c r="O140" i="5" s="1"/>
  <c r="N291" i="5"/>
  <c r="O291" i="5" s="1"/>
  <c r="A292" i="5"/>
  <c r="A293" i="5" s="1"/>
  <c r="M292" i="5"/>
  <c r="N292" i="5" s="1"/>
  <c r="O292" i="5" s="1"/>
  <c r="M293" i="5"/>
  <c r="N293" i="5" s="1"/>
  <c r="O293" i="5" s="1"/>
  <c r="N346" i="5" l="1"/>
  <c r="N287" i="5"/>
  <c r="O162" i="5"/>
  <c r="O287" i="5" s="1"/>
  <c r="K47" i="6" l="1"/>
  <c r="L47" i="6" s="1"/>
  <c r="K46" i="6"/>
  <c r="L46" i="6" s="1"/>
  <c r="K45" i="6"/>
  <c r="L45" i="6" s="1"/>
  <c r="K44" i="6"/>
  <c r="L44" i="6" s="1"/>
  <c r="K43" i="6"/>
  <c r="L43" i="6" s="1"/>
  <c r="K42" i="6"/>
  <c r="L42" i="6" s="1"/>
  <c r="K41" i="6"/>
  <c r="L41" i="6" s="1"/>
  <c r="K40" i="6"/>
  <c r="L40" i="6" s="1"/>
  <c r="K39" i="6"/>
  <c r="L39" i="6" s="1"/>
  <c r="K38" i="6"/>
  <c r="L38" i="6" s="1"/>
  <c r="K37" i="6"/>
  <c r="L37" i="6" s="1"/>
  <c r="K36" i="6"/>
  <c r="L36" i="6" s="1"/>
  <c r="K35" i="6"/>
  <c r="L35" i="6" s="1"/>
  <c r="K34" i="6"/>
  <c r="L34" i="6" s="1"/>
  <c r="K32" i="6"/>
  <c r="L32" i="6" s="1"/>
  <c r="K31" i="6"/>
  <c r="L31" i="6" s="1"/>
  <c r="K30" i="6"/>
  <c r="L30" i="6" s="1"/>
  <c r="K29" i="6"/>
  <c r="L29" i="6" s="1"/>
  <c r="K28" i="6"/>
  <c r="L28" i="6" s="1"/>
  <c r="K27" i="6"/>
  <c r="L27" i="6" s="1"/>
  <c r="K26" i="6"/>
  <c r="L26" i="6" s="1"/>
  <c r="K25" i="6"/>
  <c r="L25" i="6" s="1"/>
  <c r="K24" i="6"/>
  <c r="L24" i="6" s="1"/>
  <c r="K23" i="6"/>
  <c r="L23" i="6" s="1"/>
  <c r="K22" i="6"/>
  <c r="L22" i="6" s="1"/>
  <c r="K21" i="6"/>
  <c r="L21" i="6" s="1"/>
  <c r="K20" i="6"/>
  <c r="L20" i="6" s="1"/>
  <c r="K19" i="6"/>
  <c r="L19" i="6" s="1"/>
  <c r="K18" i="6"/>
  <c r="L18" i="6" s="1"/>
  <c r="K17" i="6"/>
  <c r="L17" i="6" s="1"/>
  <c r="K16" i="6"/>
  <c r="L16" i="6" s="1"/>
  <c r="K15" i="6"/>
  <c r="L15" i="6" s="1"/>
  <c r="K14" i="6"/>
  <c r="L14" i="6" s="1"/>
  <c r="K13" i="6"/>
  <c r="L13" i="6" s="1"/>
  <c r="K12" i="6"/>
  <c r="L12" i="6" s="1"/>
  <c r="K85" i="6"/>
  <c r="L85" i="6" s="1"/>
  <c r="A86" i="6"/>
  <c r="A87" i="6" s="1"/>
  <c r="A88" i="6" s="1"/>
  <c r="A89" i="6" s="1"/>
  <c r="A90" i="6" s="1"/>
  <c r="A91" i="6" s="1"/>
  <c r="A92" i="6" s="1"/>
  <c r="A93" i="6" s="1"/>
  <c r="A94" i="6" s="1"/>
  <c r="A95" i="6" s="1"/>
  <c r="A96" i="6" s="1"/>
  <c r="A97" i="6" s="1"/>
  <c r="A98" i="6" s="1"/>
  <c r="A99" i="6" s="1"/>
  <c r="A100" i="6" s="1"/>
  <c r="A101" i="6" s="1"/>
  <c r="A102" i="6" s="1"/>
  <c r="A103" i="6" s="1"/>
  <c r="A104" i="6" s="1"/>
  <c r="A105" i="6" s="1"/>
  <c r="A106" i="6" s="1"/>
  <c r="K86" i="6"/>
  <c r="L86" i="6" s="1"/>
  <c r="K87" i="6"/>
  <c r="L87" i="6" s="1"/>
  <c r="K88" i="6"/>
  <c r="L88" i="6" s="1"/>
  <c r="K89" i="6"/>
  <c r="L89" i="6" s="1"/>
  <c r="K90" i="6"/>
  <c r="L90" i="6" s="1"/>
  <c r="K91" i="6"/>
  <c r="L91" i="6" s="1"/>
  <c r="K92" i="6"/>
  <c r="L92" i="6" s="1"/>
  <c r="K93" i="6"/>
  <c r="L93" i="6" s="1"/>
  <c r="K94" i="6"/>
  <c r="L94" i="6" s="1"/>
  <c r="K95" i="6"/>
  <c r="L95" i="6" s="1"/>
  <c r="K96" i="6"/>
  <c r="L96" i="6" s="1"/>
  <c r="K97" i="6"/>
  <c r="L97" i="6" s="1"/>
  <c r="K98" i="6"/>
  <c r="L98" i="6" s="1"/>
  <c r="K99" i="6"/>
  <c r="L99" i="6" s="1"/>
  <c r="K100" i="6"/>
  <c r="L100" i="6" s="1"/>
  <c r="K101" i="6"/>
  <c r="L101" i="6" s="1"/>
  <c r="K102" i="6"/>
  <c r="L102" i="6" s="1"/>
  <c r="K103" i="6"/>
  <c r="L103" i="6" s="1"/>
  <c r="K104" i="6"/>
  <c r="L104" i="6" s="1"/>
  <c r="K105" i="6"/>
  <c r="L105" i="6" s="1"/>
  <c r="K106" i="6"/>
  <c r="L106" i="6" s="1"/>
  <c r="M315" i="5"/>
  <c r="N315" i="5" s="1"/>
  <c r="O315" i="5" s="1"/>
  <c r="M314" i="5"/>
  <c r="N314" i="5" s="1"/>
  <c r="O314" i="5" s="1"/>
  <c r="M313" i="5"/>
  <c r="N313" i="5" s="1"/>
  <c r="O313" i="5" s="1"/>
  <c r="M312" i="5"/>
  <c r="N312" i="5" s="1"/>
  <c r="O312" i="5" s="1"/>
  <c r="M311" i="5"/>
  <c r="N311" i="5" s="1"/>
  <c r="O311" i="5" s="1"/>
  <c r="M310" i="5"/>
  <c r="N310" i="5" s="1"/>
  <c r="O310" i="5" s="1"/>
  <c r="M309" i="5"/>
  <c r="N309" i="5" s="1"/>
  <c r="O309" i="5" s="1"/>
  <c r="M308" i="5"/>
  <c r="N308" i="5" s="1"/>
  <c r="O308" i="5" s="1"/>
  <c r="M307" i="5"/>
  <c r="N307" i="5" s="1"/>
  <c r="O307" i="5" s="1"/>
  <c r="M306" i="5"/>
  <c r="N306" i="5" s="1"/>
  <c r="O306" i="5" s="1"/>
  <c r="M132" i="5"/>
  <c r="N132" i="5" s="1"/>
  <c r="O132" i="5" s="1"/>
  <c r="M131" i="5"/>
  <c r="N131" i="5" s="1"/>
  <c r="O131" i="5" s="1"/>
  <c r="M130" i="5"/>
  <c r="N130" i="5" s="1"/>
  <c r="O130" i="5" s="1"/>
  <c r="M129" i="5"/>
  <c r="N129" i="5" s="1"/>
  <c r="O129" i="5" s="1"/>
  <c r="M128" i="5"/>
  <c r="N128" i="5" s="1"/>
  <c r="O128" i="5" s="1"/>
  <c r="M127" i="5"/>
  <c r="N127" i="5" s="1"/>
  <c r="O127" i="5" s="1"/>
  <c r="M122" i="5"/>
  <c r="N122" i="5" s="1"/>
  <c r="O122" i="5" s="1"/>
  <c r="M97" i="5"/>
  <c r="N97" i="5" s="1"/>
  <c r="O97" i="5" s="1"/>
  <c r="M88" i="5"/>
  <c r="N88" i="5" s="1"/>
  <c r="O88" i="5" s="1"/>
  <c r="A294" i="5" l="1"/>
  <c r="A295" i="5" s="1"/>
  <c r="A14" i="5"/>
  <c r="A16" i="5" s="1"/>
  <c r="A17" i="5" s="1"/>
  <c r="A18" i="5" s="1"/>
  <c r="A19" i="5" s="1"/>
  <c r="A20" i="5" s="1"/>
  <c r="A21" i="5" s="1"/>
  <c r="A22" i="5" s="1"/>
  <c r="A23" i="5" s="1"/>
  <c r="A24" i="5" s="1"/>
  <c r="A26" i="5" s="1"/>
  <c r="A27" i="5" s="1"/>
  <c r="A28" i="5" s="1"/>
  <c r="A29" i="5" s="1"/>
  <c r="A30" i="5" s="1"/>
  <c r="A31" i="5" s="1"/>
  <c r="A33" i="5" s="1"/>
  <c r="A34" i="5" s="1"/>
  <c r="A35" i="5" s="1"/>
  <c r="A36" i="5" s="1"/>
  <c r="A37" i="5" s="1"/>
  <c r="A38" i="5" s="1"/>
  <c r="A39" i="5" s="1"/>
  <c r="A40" i="5" s="1"/>
  <c r="A41" i="5" s="1"/>
  <c r="A42" i="5" s="1"/>
  <c r="A43" i="5" s="1"/>
  <c r="A44" i="5" s="1"/>
  <c r="A45" i="5" s="1"/>
  <c r="A46" i="5" s="1"/>
  <c r="A47" i="5" s="1"/>
  <c r="A49" i="5" s="1"/>
  <c r="A51" i="5" s="1"/>
  <c r="A52" i="5" s="1"/>
  <c r="A53" i="5" s="1"/>
  <c r="A54" i="5" s="1"/>
  <c r="A55" i="5" s="1"/>
  <c r="A57" i="5" s="1"/>
  <c r="A58" i="5" s="1"/>
  <c r="A59" i="5" s="1"/>
  <c r="A60" i="5" s="1"/>
  <c r="A61" i="5" s="1"/>
  <c r="A62" i="5" s="1"/>
  <c r="A63" i="5" s="1"/>
  <c r="A64" i="5" s="1"/>
  <c r="A65" i="5" s="1"/>
  <c r="A67" i="5" s="1"/>
  <c r="A68" i="5" s="1"/>
  <c r="A69" i="5" s="1"/>
  <c r="A71" i="5" s="1"/>
  <c r="M300" i="5"/>
  <c r="N300" i="5" s="1"/>
  <c r="O300" i="5" s="1"/>
  <c r="M136" i="5"/>
  <c r="N136" i="5" s="1"/>
  <c r="O136" i="5" s="1"/>
  <c r="M14" i="5"/>
  <c r="N14" i="5" s="1"/>
  <c r="O14" i="5" s="1"/>
  <c r="M16" i="5"/>
  <c r="N16" i="5" s="1"/>
  <c r="O16" i="5" s="1"/>
  <c r="M17" i="5"/>
  <c r="N17" i="5" s="1"/>
  <c r="O17" i="5" s="1"/>
  <c r="M18" i="5"/>
  <c r="N18" i="5" s="1"/>
  <c r="O18" i="5" s="1"/>
  <c r="M19" i="5"/>
  <c r="N19" i="5" s="1"/>
  <c r="O19" i="5" s="1"/>
  <c r="M20" i="5"/>
  <c r="N20" i="5" s="1"/>
  <c r="O20" i="5" s="1"/>
  <c r="M21" i="5"/>
  <c r="N21" i="5" s="1"/>
  <c r="O21" i="5" s="1"/>
  <c r="M22" i="5"/>
  <c r="N22" i="5" s="1"/>
  <c r="O22" i="5" s="1"/>
  <c r="M23" i="5"/>
  <c r="N23" i="5" s="1"/>
  <c r="O23" i="5" s="1"/>
  <c r="M24" i="5"/>
  <c r="N24" i="5" s="1"/>
  <c r="O24" i="5" s="1"/>
  <c r="M26" i="5"/>
  <c r="N26" i="5" s="1"/>
  <c r="O26" i="5" s="1"/>
  <c r="M27" i="5"/>
  <c r="N27" i="5" s="1"/>
  <c r="O27" i="5" s="1"/>
  <c r="M28" i="5"/>
  <c r="N28" i="5" s="1"/>
  <c r="O28" i="5" s="1"/>
  <c r="M29" i="5"/>
  <c r="N29" i="5" s="1"/>
  <c r="O29" i="5" s="1"/>
  <c r="M30" i="5"/>
  <c r="N30" i="5" s="1"/>
  <c r="O30" i="5" s="1"/>
  <c r="M31" i="5"/>
  <c r="N31" i="5" s="1"/>
  <c r="O31" i="5" s="1"/>
  <c r="M34" i="5"/>
  <c r="N34" i="5" s="1"/>
  <c r="O34" i="5" s="1"/>
  <c r="M35" i="5"/>
  <c r="N35" i="5" s="1"/>
  <c r="O35" i="5" s="1"/>
  <c r="M36" i="5"/>
  <c r="N36" i="5" s="1"/>
  <c r="O36" i="5" s="1"/>
  <c r="M37" i="5"/>
  <c r="N37" i="5" s="1"/>
  <c r="O37" i="5" s="1"/>
  <c r="M38" i="5"/>
  <c r="N38" i="5" s="1"/>
  <c r="O38" i="5" s="1"/>
  <c r="M39" i="5"/>
  <c r="N39" i="5" s="1"/>
  <c r="O39" i="5" s="1"/>
  <c r="M40" i="5"/>
  <c r="N40" i="5" s="1"/>
  <c r="O40" i="5" s="1"/>
  <c r="M41" i="5"/>
  <c r="N41" i="5" s="1"/>
  <c r="O41" i="5" s="1"/>
  <c r="M42" i="5"/>
  <c r="N42" i="5" s="1"/>
  <c r="O42" i="5" s="1"/>
  <c r="M43" i="5"/>
  <c r="N43" i="5" s="1"/>
  <c r="O43" i="5" s="1"/>
  <c r="M44" i="5"/>
  <c r="N44" i="5" s="1"/>
  <c r="O44" i="5" s="1"/>
  <c r="M45" i="5"/>
  <c r="N45" i="5" s="1"/>
  <c r="O45" i="5" s="1"/>
  <c r="M46" i="5"/>
  <c r="N46" i="5" s="1"/>
  <c r="O46" i="5" s="1"/>
  <c r="M47" i="5"/>
  <c r="N47" i="5" s="1"/>
  <c r="O47" i="5" s="1"/>
  <c r="M48" i="5"/>
  <c r="N48" i="5" s="1"/>
  <c r="O48" i="5" s="1"/>
  <c r="M49" i="5"/>
  <c r="N49" i="5" s="1"/>
  <c r="O49" i="5" s="1"/>
  <c r="M51" i="5"/>
  <c r="N51" i="5" s="1"/>
  <c r="O51" i="5" s="1"/>
  <c r="M52" i="5"/>
  <c r="N52" i="5" s="1"/>
  <c r="O52" i="5" s="1"/>
  <c r="M53" i="5"/>
  <c r="N53" i="5" s="1"/>
  <c r="O53" i="5" s="1"/>
  <c r="M54" i="5"/>
  <c r="N54" i="5" s="1"/>
  <c r="O54" i="5" s="1"/>
  <c r="M55" i="5"/>
  <c r="N55" i="5" s="1"/>
  <c r="O55" i="5" s="1"/>
  <c r="M57" i="5"/>
  <c r="N57" i="5" s="1"/>
  <c r="O57" i="5" s="1"/>
  <c r="M58" i="5"/>
  <c r="N58" i="5" s="1"/>
  <c r="O58" i="5" s="1"/>
  <c r="M59" i="5"/>
  <c r="N59" i="5" s="1"/>
  <c r="O59" i="5" s="1"/>
  <c r="M60" i="5"/>
  <c r="N60" i="5" s="1"/>
  <c r="O60" i="5" s="1"/>
  <c r="M61" i="5"/>
  <c r="N61" i="5" s="1"/>
  <c r="O61" i="5" s="1"/>
  <c r="M62" i="5"/>
  <c r="N62" i="5" s="1"/>
  <c r="O62" i="5" s="1"/>
  <c r="M63" i="5"/>
  <c r="N63" i="5" s="1"/>
  <c r="O63" i="5" s="1"/>
  <c r="M64" i="5"/>
  <c r="N64" i="5" s="1"/>
  <c r="O64" i="5" s="1"/>
  <c r="M65" i="5"/>
  <c r="N65" i="5" s="1"/>
  <c r="O65" i="5" s="1"/>
  <c r="M67" i="5"/>
  <c r="N67" i="5" s="1"/>
  <c r="O67" i="5" s="1"/>
  <c r="M68" i="5"/>
  <c r="N68" i="5" s="1"/>
  <c r="O68" i="5" s="1"/>
  <c r="M69" i="5"/>
  <c r="N69" i="5" s="1"/>
  <c r="O69" i="5" s="1"/>
  <c r="M71" i="5"/>
  <c r="N71" i="5" s="1"/>
  <c r="O71" i="5" s="1"/>
  <c r="M72" i="5"/>
  <c r="N72" i="5" s="1"/>
  <c r="O72" i="5" s="1"/>
  <c r="M73" i="5"/>
  <c r="N73" i="5" s="1"/>
  <c r="O73" i="5" s="1"/>
  <c r="M74" i="5"/>
  <c r="N74" i="5" s="1"/>
  <c r="O74" i="5" s="1"/>
  <c r="M75" i="5"/>
  <c r="N75" i="5" s="1"/>
  <c r="O75" i="5" s="1"/>
  <c r="M77" i="5"/>
  <c r="N77" i="5" s="1"/>
  <c r="O77" i="5" s="1"/>
  <c r="M79" i="5"/>
  <c r="N79" i="5" s="1"/>
  <c r="O79" i="5" s="1"/>
  <c r="M81" i="5"/>
  <c r="N81" i="5" s="1"/>
  <c r="O81" i="5" s="1"/>
  <c r="M82" i="5"/>
  <c r="N82" i="5" s="1"/>
  <c r="O82" i="5" s="1"/>
  <c r="M83" i="5"/>
  <c r="N83" i="5" s="1"/>
  <c r="O83" i="5" s="1"/>
  <c r="M84" i="5"/>
  <c r="N84" i="5" s="1"/>
  <c r="O84" i="5" s="1"/>
  <c r="M85" i="5"/>
  <c r="N85" i="5" s="1"/>
  <c r="O85" i="5" s="1"/>
  <c r="M86" i="5"/>
  <c r="N86" i="5" s="1"/>
  <c r="O86" i="5" s="1"/>
  <c r="M87" i="5"/>
  <c r="N87" i="5" s="1"/>
  <c r="O87" i="5" s="1"/>
  <c r="M90" i="5"/>
  <c r="N90" i="5" s="1"/>
  <c r="O90" i="5" s="1"/>
  <c r="M91" i="5"/>
  <c r="N91" i="5" s="1"/>
  <c r="O91" i="5" s="1"/>
  <c r="M92" i="5"/>
  <c r="N92" i="5" s="1"/>
  <c r="O92" i="5" s="1"/>
  <c r="M93" i="5"/>
  <c r="N93" i="5" s="1"/>
  <c r="O93" i="5" s="1"/>
  <c r="M94" i="5"/>
  <c r="N94" i="5" s="1"/>
  <c r="O94" i="5" s="1"/>
  <c r="M95" i="5"/>
  <c r="N95" i="5" s="1"/>
  <c r="O95" i="5" s="1"/>
  <c r="M96" i="5"/>
  <c r="N96" i="5" s="1"/>
  <c r="O96" i="5" s="1"/>
  <c r="M98" i="5"/>
  <c r="N98" i="5" s="1"/>
  <c r="O98" i="5" s="1"/>
  <c r="M99" i="5"/>
  <c r="N99" i="5" s="1"/>
  <c r="O99" i="5" s="1"/>
  <c r="M100" i="5"/>
  <c r="N100" i="5" s="1"/>
  <c r="O100" i="5" s="1"/>
  <c r="M101" i="5"/>
  <c r="N101" i="5" s="1"/>
  <c r="O101" i="5" s="1"/>
  <c r="M103" i="5"/>
  <c r="N103" i="5" s="1"/>
  <c r="O103" i="5" s="1"/>
  <c r="M106" i="5"/>
  <c r="N106" i="5" s="1"/>
  <c r="O106" i="5" s="1"/>
  <c r="M108" i="5"/>
  <c r="N108" i="5" s="1"/>
  <c r="O108" i="5" s="1"/>
  <c r="M109" i="5"/>
  <c r="N109" i="5" s="1"/>
  <c r="O109" i="5" s="1"/>
  <c r="M110" i="5"/>
  <c r="N110" i="5" s="1"/>
  <c r="O110" i="5" s="1"/>
  <c r="M111" i="5"/>
  <c r="N111" i="5" s="1"/>
  <c r="O111" i="5" s="1"/>
  <c r="M113" i="5"/>
  <c r="N113" i="5" s="1"/>
  <c r="O113" i="5" s="1"/>
  <c r="M114" i="5"/>
  <c r="N114" i="5" s="1"/>
  <c r="O114" i="5" s="1"/>
  <c r="M115" i="5"/>
  <c r="N115" i="5" s="1"/>
  <c r="O115" i="5" s="1"/>
  <c r="M116" i="5"/>
  <c r="N116" i="5" s="1"/>
  <c r="O116" i="5" s="1"/>
  <c r="M117" i="5"/>
  <c r="N117" i="5" s="1"/>
  <c r="O117" i="5" s="1"/>
  <c r="M118" i="5"/>
  <c r="N118" i="5" s="1"/>
  <c r="O118" i="5" s="1"/>
  <c r="M120" i="5"/>
  <c r="N120" i="5" s="1"/>
  <c r="O120" i="5" s="1"/>
  <c r="M123" i="5"/>
  <c r="N123" i="5" s="1"/>
  <c r="O123" i="5" s="1"/>
  <c r="M124" i="5"/>
  <c r="N124" i="5" s="1"/>
  <c r="O124" i="5" s="1"/>
  <c r="M125" i="5"/>
  <c r="N125" i="5" s="1"/>
  <c r="O125" i="5" s="1"/>
  <c r="M134" i="5"/>
  <c r="N134" i="5" s="1"/>
  <c r="O134" i="5" s="1"/>
  <c r="M135" i="5"/>
  <c r="N135" i="5" s="1"/>
  <c r="O135" i="5" s="1"/>
  <c r="M296" i="5"/>
  <c r="N296" i="5" s="1"/>
  <c r="O296" i="5" s="1"/>
  <c r="M305" i="5"/>
  <c r="N305" i="5" s="1"/>
  <c r="O305" i="5" s="1"/>
  <c r="M304" i="5"/>
  <c r="N304" i="5" s="1"/>
  <c r="O304" i="5" s="1"/>
  <c r="M303" i="5"/>
  <c r="N303" i="5" s="1"/>
  <c r="O303" i="5" s="1"/>
  <c r="M302" i="5"/>
  <c r="N302" i="5" s="1"/>
  <c r="O302" i="5" s="1"/>
  <c r="M301" i="5"/>
  <c r="N301" i="5" s="1"/>
  <c r="O301" i="5" s="1"/>
  <c r="M299" i="5"/>
  <c r="N299" i="5" s="1"/>
  <c r="O299" i="5" s="1"/>
  <c r="M298" i="5"/>
  <c r="N298" i="5" s="1"/>
  <c r="O298" i="5" s="1"/>
  <c r="M297" i="5"/>
  <c r="N297" i="5" s="1"/>
  <c r="O297" i="5" s="1"/>
  <c r="M295" i="5"/>
  <c r="N295" i="5" s="1"/>
  <c r="O295" i="5" s="1"/>
  <c r="M294" i="5"/>
  <c r="N294" i="5" s="1"/>
  <c r="O294" i="5" s="1"/>
  <c r="A296" i="5" l="1"/>
  <c r="A297" i="5" s="1"/>
  <c r="A298" i="5" s="1"/>
  <c r="A299" i="5" s="1"/>
  <c r="A300" i="5" s="1"/>
  <c r="A72" i="5"/>
  <c r="A73" i="5" s="1"/>
  <c r="A74" i="5" s="1"/>
  <c r="A75" i="5" s="1"/>
  <c r="A76" i="5" s="1"/>
  <c r="A77" i="5" s="1"/>
  <c r="K11" i="6"/>
  <c r="K48" i="6" s="1"/>
  <c r="N11" i="6"/>
  <c r="O11" i="6" s="1"/>
  <c r="A301" i="5" l="1"/>
  <c r="A302" i="5" s="1"/>
  <c r="A303" i="5" s="1"/>
  <c r="A304" i="5" s="1"/>
  <c r="A305" i="5" s="1"/>
  <c r="A306" i="5" s="1"/>
  <c r="A307" i="5" s="1"/>
  <c r="A308" i="5" s="1"/>
  <c r="A309" i="5" s="1"/>
  <c r="A310" i="5" s="1"/>
  <c r="A311" i="5" s="1"/>
  <c r="A312" i="5" s="1"/>
  <c r="A313" i="5" s="1"/>
  <c r="A314" i="5" s="1"/>
  <c r="A315" i="5" s="1"/>
  <c r="A79" i="5"/>
  <c r="A80" i="5" s="1"/>
  <c r="L11" i="6"/>
  <c r="L48" i="6" s="1"/>
  <c r="A81" i="5" l="1"/>
  <c r="A82" i="5" s="1"/>
  <c r="A83" i="5" s="1"/>
  <c r="A84" i="5" s="1"/>
  <c r="A85" i="5" s="1"/>
  <c r="A86" i="5" s="1"/>
  <c r="A87" i="5" s="1"/>
  <c r="A88" i="5" s="1"/>
  <c r="A90" i="5" s="1"/>
  <c r="A91" i="5" s="1"/>
  <c r="A92" i="5" s="1"/>
  <c r="A93" i="5" s="1"/>
  <c r="A94" i="5" s="1"/>
  <c r="A95" i="5" s="1"/>
  <c r="A96" i="5" s="1"/>
  <c r="A97" i="5" s="1"/>
  <c r="A98" i="5" s="1"/>
  <c r="A99" i="5" s="1"/>
  <c r="A100" i="5" s="1"/>
  <c r="A101" i="5" s="1"/>
  <c r="O316" i="5"/>
  <c r="N316" i="5"/>
  <c r="L107" i="6"/>
  <c r="L140" i="6" s="1"/>
  <c r="K107" i="6"/>
  <c r="K140" i="6" s="1"/>
  <c r="A103" i="5" l="1"/>
  <c r="A105" i="5" s="1"/>
  <c r="A106" i="5" s="1"/>
  <c r="A108" i="5" s="1"/>
  <c r="A109" i="5" s="1"/>
  <c r="A110" i="5" s="1"/>
  <c r="A111" i="5" s="1"/>
  <c r="A113" i="5" s="1"/>
  <c r="A114" i="5" s="1"/>
  <c r="A115" i="5" s="1"/>
  <c r="A116" i="5" s="1"/>
  <c r="A141" i="6" l="1"/>
  <c r="A117" i="5"/>
  <c r="A118" i="5" s="1"/>
  <c r="A120" i="5" s="1"/>
  <c r="M11" i="6"/>
  <c r="A1" i="8"/>
  <c r="C15" i="8"/>
  <c r="B34" i="8"/>
  <c r="F37" i="8"/>
  <c r="B39" i="8"/>
  <c r="F39" i="8"/>
  <c r="B40" i="8"/>
  <c r="F40" i="8"/>
  <c r="A52" i="8"/>
  <c r="A1" i="7"/>
  <c r="B11" i="7" s="1"/>
  <c r="B4" i="7"/>
  <c r="D25" i="7"/>
  <c r="B26" i="7"/>
  <c r="D26" i="7"/>
  <c r="A1" i="6"/>
  <c r="D3" i="6"/>
  <c r="D4" i="6"/>
  <c r="D5" i="6"/>
  <c r="D6" i="6"/>
  <c r="A1" i="5"/>
  <c r="C4" i="5"/>
  <c r="C5" i="5"/>
  <c r="B5" i="7" s="1"/>
  <c r="C6" i="5"/>
  <c r="B6" i="7" s="1"/>
  <c r="C7" i="5"/>
  <c r="B7" i="7" s="1"/>
  <c r="M13" i="5"/>
  <c r="N13" i="5" s="1"/>
  <c r="O349" i="5"/>
  <c r="A353"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A121" i="5" l="1"/>
  <c r="A122" i="5"/>
  <c r="A123" i="5"/>
  <c r="A124" i="5" s="1"/>
  <c r="A125" i="5" s="1"/>
  <c r="N137" i="5"/>
  <c r="N348" i="5" s="1"/>
  <c r="N140" i="6"/>
  <c r="N143" i="6" s="1"/>
  <c r="E21" i="1"/>
  <c r="C22" i="1" s="1"/>
  <c r="D19" i="7"/>
  <c r="B13" i="7"/>
  <c r="U6" i="4"/>
  <c r="P6" i="4"/>
  <c r="K6" i="4"/>
  <c r="I13" i="4"/>
  <c r="F6" i="4" s="1"/>
  <c r="O13" i="5"/>
  <c r="O137" i="5" s="1"/>
  <c r="A6" i="4"/>
  <c r="A127" i="5" l="1"/>
  <c r="A128" i="5" s="1"/>
  <c r="A129" i="5" s="1"/>
  <c r="A130" i="5" s="1"/>
  <c r="A131" i="5" s="1"/>
  <c r="A132" i="5" s="1"/>
  <c r="A134" i="5" s="1"/>
  <c r="A135" i="5" s="1"/>
  <c r="A136" i="5" s="1"/>
  <c r="N350" i="5"/>
  <c r="O350" i="5" s="1"/>
  <c r="O348" i="5"/>
  <c r="N351" i="5"/>
  <c r="D11" i="7" s="1"/>
  <c r="D13" i="7"/>
  <c r="Y25" i="4"/>
  <c r="T25" i="4" s="1"/>
  <c r="U7" i="4" s="1"/>
  <c r="O352" i="5" l="1"/>
  <c r="D18" i="7" s="1"/>
  <c r="D20" i="7" s="1"/>
  <c r="D15" i="7"/>
  <c r="D22" i="7" l="1"/>
  <c r="AB17" i="8" l="1"/>
  <c r="B17" i="8" s="1"/>
  <c r="A185" i="5"/>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8" i="5" s="1"/>
  <c r="A209" i="5" s="1"/>
  <c r="A211" i="5" s="1"/>
  <c r="A212" i="5" s="1"/>
  <c r="A213" i="5" s="1"/>
  <c r="A215" i="5" l="1"/>
  <c r="A216" i="5" s="1"/>
  <c r="A217" i="5" s="1"/>
  <c r="A218" i="5" s="1"/>
  <c r="A220" i="5" s="1"/>
  <c r="A221" i="5" s="1"/>
  <c r="A214" i="5"/>
  <c r="A222" i="5" l="1"/>
  <c r="A223" i="5"/>
  <c r="A224" i="5" s="1"/>
  <c r="A225" i="5" s="1"/>
  <c r="A226" i="5" l="1"/>
  <c r="A227" i="5"/>
  <c r="A228" i="5" s="1"/>
  <c r="A229" i="5" s="1"/>
  <c r="A230" i="5" s="1"/>
  <c r="A232" i="5" s="1"/>
  <c r="A233" i="5" s="1"/>
  <c r="A234" i="5" l="1"/>
  <c r="A235" i="5"/>
  <c r="A236" i="5" s="1"/>
  <c r="A237" i="5" s="1"/>
  <c r="A238" i="5" l="1"/>
  <c r="A239" i="5"/>
  <c r="A240" i="5" s="1"/>
  <c r="A241" i="5" s="1"/>
  <c r="A242" i="5" l="1"/>
  <c r="A243" i="5"/>
  <c r="A244" i="5" s="1"/>
  <c r="A246" i="5" s="1"/>
  <c r="A247" i="5" s="1"/>
  <c r="A248" i="5" s="1"/>
  <c r="A249" i="5" s="1"/>
  <c r="A250" i="5" l="1"/>
  <c r="A251" i="5"/>
  <c r="A252" i="5" s="1"/>
  <c r="A253" i="5" s="1"/>
  <c r="A255" i="5" s="1"/>
  <c r="A256" i="5" s="1"/>
  <c r="A257" i="5" s="1"/>
  <c r="A258" i="5" l="1"/>
  <c r="A259" i="5"/>
  <c r="A260" i="5" s="1"/>
  <c r="A261" i="5" s="1"/>
  <c r="A262" i="5" l="1"/>
  <c r="A263" i="5"/>
  <c r="A264" i="5" s="1"/>
  <c r="A265" i="5" s="1"/>
  <c r="A266" i="5" l="1"/>
  <c r="A267" i="5"/>
  <c r="A268" i="5" s="1"/>
  <c r="A269" i="5" s="1"/>
  <c r="A270" i="5" s="1"/>
  <c r="A271" i="5" s="1"/>
  <c r="A273" i="5" s="1"/>
  <c r="A274" i="5" s="1"/>
  <c r="A275" i="5" s="1"/>
  <c r="A276" i="5" l="1"/>
  <c r="A277" i="5"/>
  <c r="A278" i="5" s="1"/>
  <c r="A281" i="5" s="1"/>
  <c r="A282" i="5" s="1"/>
  <c r="A283" i="5" s="1"/>
  <c r="A285" i="5" s="1"/>
  <c r="A28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<sst xmlns="http://schemas.openxmlformats.org/spreadsheetml/2006/main" count="2236" uniqueCount="993">
  <si>
    <t>Package-B for Construction of Field Hostel and Community Center at 765/400kV Kurnool-III PS under Transmission System for evacuation of power from RE sources in Kurnool Wind Energy Zone (3000MW)/ Solar Energy Zone (1500MW) Part-A and Part-B</t>
  </si>
  <si>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</si>
  <si>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</si>
  <si>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</si>
  <si>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</si>
  <si>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</si>
  <si>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</si>
  <si>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</si>
  <si>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</si>
  <si>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</si>
  <si>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</si>
  <si>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</si>
  <si>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</si>
  <si>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</si>
  <si>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</si>
  <si>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</si>
  <si>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</si>
  <si>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</si>
  <si>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</si>
  <si>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</si>
  <si>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</si>
  <si>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</si>
  <si>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</si>
  <si>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</si>
  <si>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</si>
  <si>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</si>
  <si>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</si>
  <si>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</si>
  <si>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</si>
  <si>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</si>
  <si>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</si>
  <si>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</si>
  <si>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</si>
  <si>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</si>
  <si>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</si>
  <si>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</si>
  <si>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</si>
  <si>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</si>
  <si>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</si>
  <si>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</si>
  <si>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</si>
  <si>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</si>
  <si>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</si>
  <si>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</si>
  <si>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</si>
  <si>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</si>
  <si>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</si>
  <si>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</si>
  <si>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</si>
  <si>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</si>
  <si>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</si>
  <si>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</si>
  <si>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</si>
  <si>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</si>
  <si>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</si>
  <si>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</si>
  <si>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</si>
  <si>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</si>
  <si>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</si>
  <si>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</si>
  <si>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</si>
  <si>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</si>
  <si>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</si>
  <si>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</si>
  <si>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</si>
  <si>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</si>
  <si>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</si>
  <si>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</si>
  <si>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</si>
  <si>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</si>
  <si>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</si>
  <si>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</si>
  <si>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</si>
  <si>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</si>
  <si>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</si>
  <si>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</si>
  <si>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</si>
  <si>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</si>
  <si>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</si>
  <si>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</si>
  <si>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</si>
  <si>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</si>
  <si>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</si>
  <si>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</si>
  <si>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</si>
  <si>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</si>
  <si>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</si>
  <si>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</si>
  <si>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</si>
  <si>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</si>
  <si>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</si>
  <si>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</si>
  <si>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</si>
  <si>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</si>
  <si>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</si>
  <si>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</si>
  <si>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</si>
  <si>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</si>
  <si>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</si>
  <si>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</si>
  <si>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</si>
  <si>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</si>
  <si>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</si>
  <si>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</si>
  <si>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</si>
  <si>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</si>
  <si>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</si>
  <si>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</si>
  <si>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</si>
  <si>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</si>
  <si>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</si>
  <si>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</si>
  <si>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</si>
  <si>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</si>
  <si>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</si>
  <si>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</si>
  <si>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</si>
  <si>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</si>
  <si>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</si>
  <si>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</si>
  <si>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</si>
  <si>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</si>
  <si>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</si>
  <si>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</si>
  <si>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</si>
  <si>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</si>
  <si>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</si>
  <si>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</si>
  <si>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</si>
  <si>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</si>
  <si>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</si>
  <si>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</si>
  <si>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</si>
  <si>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</si>
  <si>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</si>
  <si>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</si>
  <si>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</si>
  <si>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</si>
  <si>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</si>
  <si>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</si>
  <si>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</si>
  <si>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</si>
  <si>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</si>
  <si>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</si>
  <si>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</si>
  <si>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</si>
  <si>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</si>
  <si>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</si>
  <si>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</si>
  <si>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</si>
  <si>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</si>
  <si>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</si>
  <si>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</si>
  <si>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</si>
  <si>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</si>
  <si>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</si>
  <si>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</si>
  <si>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</si>
  <si>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</si>
  <si>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</si>
  <si>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</si>
  <si>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</si>
  <si>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</si>
  <si>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</si>
  <si>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</si>
  <si>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</si>
  <si>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</si>
  <si>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</si>
  <si>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</si>
  <si>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</si>
  <si>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</si>
  <si>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</si>
  <si>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</si>
  <si>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</si>
  <si>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</si>
  <si>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</si>
  <si>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</si>
  <si>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</si>
  <si>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</si>
  <si>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</si>
  <si>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</si>
  <si>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</si>
  <si>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</si>
  <si>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</si>
  <si>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</si>
  <si>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</si>
  <si>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</si>
  <si>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</si>
  <si>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</si>
  <si>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</si>
  <si>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</si>
  <si>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</si>
  <si>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</si>
  <si>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</si>
  <si>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</si>
  <si>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</si>
  <si>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</si>
  <si>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</si>
  <si>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</si>
  <si>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</si>
  <si>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</si>
  <si>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</si>
  <si>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</si>
  <si>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</si>
  <si>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</si>
  <si>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</si>
  <si>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</si>
  <si>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</si>
  <si>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</si>
  <si>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</si>
  <si>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</si>
  <si>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</si>
  <si>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</si>
  <si>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</si>
  <si>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</si>
  <si>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</si>
  <si>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</si>
  <si>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</si>
  <si>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</si>
  <si>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</si>
  <si>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</si>
  <si>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</si>
  <si>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</si>
  <si>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</si>
  <si>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</si>
  <si>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</si>
  <si>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</si>
  <si>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</si>
  <si>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</si>
  <si>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</si>
  <si>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</si>
  <si>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</si>
  <si>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</si>
  <si>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</si>
  <si>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</si>
  <si>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</si>
  <si>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</si>
  <si>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</si>
  <si>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</si>
  <si>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</si>
  <si>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</si>
  <si>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</si>
  <si>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</si>
  <si>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</si>
  <si>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</si>
  <si>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</si>
  <si>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</si>
  <si>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</si>
  <si>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</si>
  <si>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</si>
  <si>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</si>
  <si>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 xml:space="preserve"> Ref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</si>
  <si>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</si>
  <si>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</si>
  <si>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</si>
  <si>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</si>
  <si>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</si>
  <si>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 xml:space="preserve">Description
</t>
  </si>
  <si>
    <t>Unit</t>
  </si>
  <si>
    <t>Quantity</t>
  </si>
  <si>
    <t>Unit Erection Charges including GST   as per DSR</t>
  </si>
  <si>
    <t>GST %  included in DSR</t>
  </si>
  <si>
    <t>Unit Erection Charges excluding GST</t>
  </si>
  <si>
    <t>Amount excluding GST</t>
  </si>
  <si>
    <t xml:space="preserve"> GST</t>
  </si>
  <si>
    <t>14=13*10</t>
  </si>
  <si>
    <t>15=18% of 14</t>
  </si>
  <si>
    <t>DSR 2023</t>
  </si>
  <si>
    <t>DSR 2023-SCHEDULE ITEMS - CIVIL-FOR COMMUNITY CENTER</t>
  </si>
  <si>
    <t>SUB HEAD : 1.0 CARRIAGE OF MATERIALS</t>
  </si>
  <si>
    <t>1.1.2</t>
  </si>
  <si>
    <t>CARRIAGE OF MATERIALS
By Mechanical Transport including loading,unloading and stacking
Earth Up to 2 Km</t>
  </si>
  <si>
    <t>M3</t>
  </si>
  <si>
    <t>1.1.4</t>
  </si>
  <si>
    <t>CARRIAGE OF MATERIALS
By Mechanical Transport including loading,unloading and stacking
Excavated Rock Up to 2 Km</t>
  </si>
  <si>
    <t>SUB HEAD : 2.0 EARTH WORK</t>
  </si>
  <si>
    <t>2.8.1</t>
  </si>
  <si>
    <t xml:space="preserve">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 All kinds of soil  </t>
  </si>
  <si>
    <t>2.9.1</t>
  </si>
  <si>
    <t xml:space="preserve">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Ordinary rock
</t>
  </si>
  <si>
    <t>2.9.2</t>
  </si>
  <si>
    <t xml:space="preserve">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Hard rock (requiring blasting)
</t>
  </si>
  <si>
    <t>2.10.1.2</t>
  </si>
  <si>
    <t xml:space="preserve">Excavating trenches of required width for pipes, cables, etc. including excavation for sockets, and dressing of sides, ramming of bottoms, depth up to 1.5 m including getting out the excavated soil, and then returning the soil as required, in layers not exceeding 20 cm in depth, including consolidating each deposited layer by ramming, watering, etc. and disposing of surplus excavated soil as directed, within a lead of 50 m  in All kinds of soils :  Pipes, cables etc. exceeding 80 mm dia. but not exceeding 300 mm dia. </t>
  </si>
  <si>
    <t>M</t>
  </si>
  <si>
    <t>2.13.1.2</t>
  </si>
  <si>
    <t xml:space="preserve">Excavating trenches of required width for pipes, cables, etc, including excavation for sockets, depth upto 1.5 m, including getting out the excavated materials, returning the soil as required in layers not exceeding 20 cm in depth, including consolidating each deposited layers by ramming, watering etc., stacking serviceable material for measurements and disposal of unserviceable material as directed, within a lead of 50 m: 
Ordinary rock :
Pipes, cables etc. exceeding 80 mm dia. but not exceeding 300 mm dia. </t>
  </si>
  <si>
    <t>2.13.2.2</t>
  </si>
  <si>
    <t xml:space="preserve">Excavating trenches of required width for pipes, cables, etc, including excavation for sockets, depth upto 1.5 m, including getting out the excavated materials, returning the soil as required in layers not exceeding 20 cm in depth, including consolidating each deposited layers by ramming, watering etc., stacking serviceable material for measurements and disposal of unserviceable material as directed, within a lead of 50 m: 
Hard rock (requiring blasting)
Pipes, cables etc. exceeding 80 mm dia. but not exceeding 300 mm dia. </t>
  </si>
  <si>
    <t>2.25</t>
  </si>
  <si>
    <t xml:space="preserve">Filling available excavated earth (excluding rock) in trenches, plinth, sides of foundations etc. in layers not exceeding 20cm in depth, consolidating each deposited layer by ramming and watering, lead up to 50 m and lift up to 1.5 m. </t>
  </si>
  <si>
    <t>2.25(a)</t>
  </si>
  <si>
    <t>Excavating, supplying and filling of local earth (including royalty) by mechanical transport up to a lead of 5km also including ramming and watering of the earth in layers not exceeding 20 cm in trenches, plinth, sides of foundation etc. complete.</t>
  </si>
  <si>
    <t>2.34.1</t>
  </si>
  <si>
    <t xml:space="preserve">Supplying chemical emulsion in sealed containers including delivery as specified.  / Chlorpyriphos/ Lindane emulsifiable concentrate of 20% </t>
  </si>
  <si>
    <t>Litre</t>
  </si>
  <si>
    <t>SUB HEAD : 4.0 CONCRETE WORK</t>
  </si>
  <si>
    <t>4.1.8</t>
  </si>
  <si>
    <t>Providing and laying in position cement concrete of specified grade excluding the cost of centering and shuttering - All work up to plinth level :1:4:8 (1 Cement : 4 coarse sand (zone-III) derived from natural sources : 8 graded stone aggregate 40 mm nominal size derived from natural sources)</t>
  </si>
  <si>
    <t>4.2.3</t>
  </si>
  <si>
    <t>Providing and laying cement concrete in retaining walls, return walls, walls (any thickness) including attached pilasters, columns, piers, abutments, pillars, posts, struts, buttresses, string or lacing courses, parapets, coping, bed blocks, anchor blocks, plain window sills, fillets, sunken floor etc., up to floor five level, excluding the cost of centering, shuttering and finishing: 1:2:4 (1 Cement : 2 coarse sand (zone-III) derived from natural sources : 4 graded stone aggregate 20 mm nominal size derived from natural sources)</t>
  </si>
  <si>
    <t>4.3.1</t>
  </si>
  <si>
    <t xml:space="preserve">Centering and shuttering including strutting,propping etc. and removal of form work for :
Foundations, footings, bases for columns </t>
  </si>
  <si>
    <t>Sqm</t>
  </si>
  <si>
    <t>4.13</t>
  </si>
  <si>
    <t>Providing &amp; applying a coat of residual petroleum bitumen of grade of VG-10 of approved quality using 1.7kg per square metre on damp proof course after cleaning the surface with brushes and finally with apiece of cloth lightly soaked in kerosene oil.</t>
  </si>
  <si>
    <t>M2</t>
  </si>
  <si>
    <t>4.12</t>
  </si>
  <si>
    <t>Extra for providing and mixing water proofing material in cement concrete work in doses by weight of cement as per manufacturer's specification</t>
  </si>
  <si>
    <t>per 50kg Cement</t>
  </si>
  <si>
    <t>4.17</t>
  </si>
  <si>
    <t>Making plinth protection 50mm thick of cement concrete 1:3:6 (1 cement :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</si>
  <si>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SUB HEAD : 5.0 REINFORCED CEMENT CONCRETE</t>
  </si>
  <si>
    <t>5.9</t>
  </si>
  <si>
    <t>Centering and shuttering including strutting, propping etc. and removal of form for</t>
  </si>
  <si>
    <t>5.9.1</t>
  </si>
  <si>
    <t xml:space="preserve">Foundations, footings, bases of columns, etc. for mass concrete. </t>
  </si>
  <si>
    <t>5.9.2</t>
  </si>
  <si>
    <t>Walls (any thickness) including attached pilasters butteresses plinth and string courses.</t>
  </si>
  <si>
    <t>5.9.3</t>
  </si>
  <si>
    <t xml:space="preserve">Suspended floors, roofs, landings, balconies and access platform. </t>
  </si>
  <si>
    <t>5.9.5</t>
  </si>
  <si>
    <t xml:space="preserve">Lintels, beams, plinth beams, girders, bressumers and cantilevers. </t>
  </si>
  <si>
    <t>5.9.6</t>
  </si>
  <si>
    <t xml:space="preserve">Columns, Pillars, Piers, Abutments, Posts and Struts. </t>
  </si>
  <si>
    <t>5.9.7</t>
  </si>
  <si>
    <t xml:space="preserve">Stairs, (excluding landings) except spiral-staircases. </t>
  </si>
  <si>
    <t>5.9.19</t>
  </si>
  <si>
    <t xml:space="preserve">Weather shade, Chajjas, corbels etc., including edges. </t>
  </si>
  <si>
    <t>5.16</t>
  </si>
  <si>
    <t>Providing, hoisting and fixing above plinth level up to floor five level precast reinforced cement concrete in shelves, including setting in cement mortar 1:3 (1cement : 3 coarse sand), cost of required centering, shuttering and finishing with neat cement punning on exposed surfaces but , excluding the cost of reinforcement, with 1:1.5:3 (1 cement : 1.5 coarse sand(zone-III) derived from natural sources : 3 graded stone aggregate 20 mm nominal size derived from natural sources).</t>
  </si>
  <si>
    <t xml:space="preserve">5.22.6 
</t>
  </si>
  <si>
    <t>Steel reinforcement for R.C.C. work including straightening, cutting, bending, placing in position and binding all complete up to plinth level. Thermo-Mechanically Treated bars of grade Fe-500D or more.</t>
  </si>
  <si>
    <t>KG</t>
  </si>
  <si>
    <t>5.22A.6</t>
  </si>
  <si>
    <t>Steel reinforcement for R.C.C. work including straightening, cutting, bending, placing in position and binding all complete above plinth level.: Thermo Mechanically Treated Bars of grade fe 500D or more</t>
  </si>
  <si>
    <t>5.30</t>
  </si>
  <si>
    <t>Add for plaster drip course/ groove in plastered surface or moulding to R.C.C. projections.</t>
  </si>
  <si>
    <t>5.33.1.1</t>
  </si>
  <si>
    <t>Providing and laying in position ready mixed or site batched design mix ncement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All works upto plinth level.
Concrete of M25 grade with minimum cement content of 330 kg /cum</t>
  </si>
  <si>
    <t>5.33.2.1</t>
  </si>
  <si>
    <t>Providing and laying in position ready mixed or site batched design mix ncement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All works above plinth level upto floor V level.
Concrete of M25 grade with minimum cement content of 330 kg /cum</t>
  </si>
  <si>
    <t>5.35</t>
  </si>
  <si>
    <t>Add for using extra cement in the items of design mix over and above the specified cement content therein.</t>
  </si>
  <si>
    <t>Quintal</t>
  </si>
  <si>
    <t>SUB HEAD : 6.0 MASONRY WORK</t>
  </si>
  <si>
    <t>6.15</t>
  </si>
  <si>
    <t xml:space="preserve">Extra for providing and placing in position 2 Nos. 6mm dia. M.S. bars at every third course of half brick masonry. </t>
  </si>
  <si>
    <t>SUB HEAD : 8.0 CLADDING WORK</t>
  </si>
  <si>
    <t>8.2.2.1</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</si>
  <si>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levels.:Granite stone slab colour black, Cherry/Ruby red:
Area of slab upto 0.50 sqm</t>
  </si>
  <si>
    <t>8.2.2.2</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</si>
  <si>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levels.:Granite stone slab colour black, Cherry/Ruby red:Area of slab over 0.50 sqm</t>
  </si>
  <si>
    <t>8.3.2</t>
  </si>
  <si>
    <t xml:space="preserve">Providing edge moulding to 18mm thick Granite stone counters, Vanities etc. including machine polishing to edge to give high gloss finish etc. complete as per design approved by Engineer-in-Charge. Granite work. </t>
  </si>
  <si>
    <t>8.4</t>
  </si>
  <si>
    <t>Extra for fixing marble /granite stone, over and above corresponding basic item, in facia and drops of width up to 150 mm with epoxy resin based adhesive, including cleaning etc. complete.</t>
  </si>
  <si>
    <t>8.5</t>
  </si>
  <si>
    <t>Extra for providing opening of required size &amp; shape for wash basin/ kitchen sink in kitchen platform, vanity counter and similar location in marble/ Granite/ stone work, including necessary holes for pillar taps etc. including moulding, rubbing and polishing of cut edges etc. complete.</t>
  </si>
  <si>
    <t>EA</t>
  </si>
  <si>
    <t>SUB HEAD : 9.0 WOOD AND P.V.C. WORK</t>
  </si>
  <si>
    <t>9.12</t>
  </si>
  <si>
    <t>Extra for providing frosted glass panes 4 mm thick instead of ordinary float glass panes 4 mm thick in doors, windows and clerestory window shutters. (Area of opening for glass panes excluding portion inside rebate shall be measured).</t>
  </si>
  <si>
    <t>9.48.2</t>
  </si>
  <si>
    <t>Providing and fixing M.S. grills of required pattern in frames of windows etc. with M.S. flats, square or round bars etc. including priming coat with approved steel primer all complete. Fixed to openings /wooden frames with rawl plugs screws etc.</t>
  </si>
  <si>
    <t>9.71.2</t>
  </si>
  <si>
    <t>Providing and fixing IS : 12817 marked stainless steel butt hinges (heavy weight) with stainless steel screws etc. complete :
100x60x2.50 mm</t>
  </si>
  <si>
    <t>9.96.1</t>
  </si>
  <si>
    <t>Providing and fixing aluminium sliding door bolts, ISI marked anodised (anodic coating not less than grade AC 10 as per IS : 1868), transparent or dyed to required colour or shade, with nuts and screws etc. complete :
300x16 mm</t>
  </si>
  <si>
    <t>9.96.2</t>
  </si>
  <si>
    <t>Providing and fixing aluminium sliding door bolts, ISI marked anodised (anodic coating not less than grade AC 10 as per IS : 1868), transparent or dyed to required colour or shade, with nuts and screws etc. complete :
250x16 mm</t>
  </si>
  <si>
    <t>9.97.1</t>
  </si>
  <si>
    <t>Providing and fixing aluminium tower bolts, ISI marked, anodised (anodic coating not less than grade AC 10 as per IS : 1868 ) transparent or dyed to required colour or shade, with necessary screws etc.complete :
300x10 mm</t>
  </si>
  <si>
    <t>9.97.4</t>
  </si>
  <si>
    <t>Providing and fixing aluminium tower bolts, ISI marked, anodised (anodic coating not less than grade AC 10 as per IS : 1868 ) transparent or dyed to required colour or shade, with necessary screws etc.complete :
150x10 mm</t>
  </si>
  <si>
    <t>9.100.1</t>
  </si>
  <si>
    <t>Providing and fixing aluminium handles, ISI marked, anodised (anodic coating not less than grade AC 10 as per IS : 1868) transparent or dyed to required colour or shade, with necessary screws etc. complete :
125 mm</t>
  </si>
  <si>
    <t>9.101.2</t>
  </si>
  <si>
    <t>Providing and fixing aluminium hanging floor door stopper, ISI marked, anodised (anodic coating not less than grade AC 10 as per IS : 1868) transparent or dyed to required colour and shade, with necessary screws etc. complete.
Twin rubber stopper</t>
  </si>
  <si>
    <t>SUB HEAD : 10.0 STEEL WORK</t>
  </si>
  <si>
    <t>10.16.2</t>
  </si>
  <si>
    <t>Steel work in built up tubular (round, square or rectangular hollow tubes etc.) trusses etc., including cutting, hoisting, fixing in position and applying a priming coat of approved steel primer, including welding and bolted with special shaped washers etc. complete. Hot finished seamless type tubes</t>
  </si>
  <si>
    <t>10.25.2</t>
  </si>
  <si>
    <t xml:space="preserve">Steel work welded in built up sections/ framed work, including cutting, hoisting, fixing in position and applying a priming coat of approved steel primer using structural steel etc. as required. In gratings, frames, guard bar, ladder, railings, brackets, gates and similar works
</t>
  </si>
  <si>
    <t>10.28</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</si>
  <si>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</si>
  <si>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SUB HEAD : 11.0 FLOORING</t>
  </si>
  <si>
    <t>11.3.1</t>
  </si>
  <si>
    <t>Cement concrete flooring 1:2:4 (1 cement : 2 coarse sand : 4 graded stone aggregate) finished with a floating coat of neat cement, including cement slurry, but excluding the cost of nosing of steps etc.complete.
40 mm thick with 20 mm nominal size stone aggregate.</t>
  </si>
  <si>
    <t>11.37</t>
  </si>
  <si>
    <t>Providing and laying Ceramic glazed floor tiles of size 300x300 mm (thickness to be specified by the manufacturer) of 1st quality conforming to IS : 15622 of approved make in colours such as White, Ivory, Grey, Fume Red Brown, laid on 20 mm thick cement mortar 1:4 (1 Cement : 4 Coarse sand), Jointing with grey cement slurry @ 3.3 kg/sqm including pointing the joints with white cement and matching pigment etc., complete..</t>
  </si>
  <si>
    <t>11.37A</t>
  </si>
  <si>
    <t>Providing and fixing 1st quality ceramic glazed floor tiles conforming to IS : 15622 (thickness to be specified by the manufacturer) of approved make in all colours, shades except burgundy, bottle green, black of any size as approved by Engineer-in-Charge in skirting, risers of steps and dados over 12 mm thick bed of cement Mortar 1:3 (1 cement: 3 coarse sand) and jointing with grey cement slurry @ 3.3kg per sqm including pointing in white cement mixed with pigment of matching shade complete.</t>
  </si>
  <si>
    <t>11.41A.2.1</t>
  </si>
  <si>
    <t xml:space="preserve">Providing and laying Vitrified tiles in floor in different sizes (thickness to be specified by the manufacturer) with water absorption less than 0.08% and conforming to 1S:15622,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floor tiles polished finish of size.
Size of Tile 600 x 600 mm </t>
  </si>
  <si>
    <t>11.41A.2.5</t>
  </si>
  <si>
    <t>Providing and laying Vitrified tiles in floor in different sizes (thickness to be specified by the manufacturer) with water absorption less than 0.08% and conforming to 1S:15622,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floor tiles polished finish of size.
Size of Tile 1200 X 1200 mm</t>
  </si>
  <si>
    <t>11.55.1</t>
  </si>
  <si>
    <t xml:space="preserve">Providing and laying flamed finish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 :
Flamed finish granite stone slab Jet Black, Cherry Red, Elite Brown, Cat Eye or equivalent. </t>
  </si>
  <si>
    <t>11.56.1</t>
  </si>
  <si>
    <t>Providing and laying Polished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 curing and polishing etc. all complete as specified and as directed by the Engineer-in-Charge.
Polished Granite stone slab of colour Black, Cherry/Ruby Red or equivalent</t>
  </si>
  <si>
    <t>SUB HEAD : 12.0 ROOFING</t>
  </si>
  <si>
    <t>12.41.2</t>
  </si>
  <si>
    <t xml:space="preserve">Providing and fixing on wall face unplasticised Rigid PVC rain water pipes conforming to IS : 13592 Type A including jointing with seal ring conforming to IS : 5382 leaving 10 mm gap for thermal expansion.(i)Single socketed pipes. : 110 mm diameter </t>
  </si>
  <si>
    <t>12.42</t>
  </si>
  <si>
    <t>Providing and fixing on wall face unplasticised - PVC moulded fittings/ accessories for unplasticised Rigid PVC rain water pipes conforming to IS : 13592 Type A including jointing with seal ring conforming to IS :5382 leaving 10 mm gap for thermal expansion.</t>
  </si>
  <si>
    <t>12.42.1.2</t>
  </si>
  <si>
    <t>Coupler:110 mm</t>
  </si>
  <si>
    <t>12.42.3.2</t>
  </si>
  <si>
    <t>Single tee with door:110x110x110 mm</t>
  </si>
  <si>
    <t>12.42.5.2</t>
  </si>
  <si>
    <t xml:space="preserve">Bend 87.5° : 110 mm bend </t>
  </si>
  <si>
    <t>12.42.6.2</t>
  </si>
  <si>
    <t xml:space="preserve">Shoe (Plain) : 110 mm Shoe </t>
  </si>
  <si>
    <t>12.43.2</t>
  </si>
  <si>
    <t xml:space="preserve">Providing and fixing unplasticised -PVC pipe clips of approved design to unplasticised - PVC rain water pipes by means of 50x50x50mm hardwood plugs, screwed with M.S. screws of required length including cutting brick work and fixing in cement mortar 1:4 (1 cement : 4 coarse sand) and making good the wall etc. complete. : 110 mm </t>
  </si>
  <si>
    <t>12.45.3</t>
  </si>
  <si>
    <t>Providing and fixing false ceiling at all heights including providing and fixing of frame work made of special sections, power pressed from M.S. sheets and galvanized with zinc coating of 120 gms/sqm (both side inclusive) as per IS : 277 and consisting of angle cleats of size 25 mm wide x 1.6 mm thick with flanges of 27 mm and 37mm, at 1200 mm centre to centre, one flange fixed to the ceiling with dash fastener 12.5 mm dia x 50 mm long with 6 mm dia bolts, other flange of cleat fixed to the angle hangers of 25x10x0.50 mm of required length with nuts &amp; bolts of required size and other end of angle hanger fixed with intermediate G.]. channels 45x15x0.9 mm running at the spacing of 1200 mm centre to centre, to which the ceiling section 0.5 mm thick bottom wedge of 80 mm with tapered flanges of 26 mm each having lips of 10.5 mm, at 450 mm centre to centre, shall be fixed in a direction perpendicular to G.|.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at 450 mm centre, with 25 mm long dry wall screws @ 230 mm interval,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grills,diffusers, cutouts made with frame of perimeter channels suitably fixed, all complete as per drawings, specification and direction of the Engineer in Charge but excluding the cost of painting with :
12.5 mm thick tapered edge gypsum moisture resistant board</t>
  </si>
  <si>
    <t>12.46</t>
  </si>
  <si>
    <t xml:space="preserve">Providing and fixing to the inlet mouth of rain water pipe PTMT (an Engineering Thermoplastic) grating square (Slit) 150 mm square with a height of 8 mm and weighing not less than 100 gms. </t>
  </si>
  <si>
    <t>Providing and fixing precoated galvanised iron profile sheets (size, shape and pitch of corrugation as approved by Engineer-in-Charge) of total coated thickness 0.50 mm (base metal of minimum 0.45 mm thickness with total coating thickness of 0.05mm)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Engineer-in-charge. The sheet shall be fixed using self drilling /self tapping screws of size (5.5x 55 mm) with EPDM seal, complete upto any pitch in horizontal/ vertical or curved surfaces, excluding the cost of purlins, rafters and trusses and including cutting to size and shape wherever required.</t>
  </si>
  <si>
    <t>SUB HEAD : 13.0 FINISHING</t>
  </si>
  <si>
    <t>13.4.2</t>
  </si>
  <si>
    <t xml:space="preserve">12 mm cement plaster of mix : 1:6 (1 cement: 6 coarse sand) </t>
  </si>
  <si>
    <t>13.5.2</t>
  </si>
  <si>
    <t xml:space="preserve">15 mm cement plaster on rough side of single or half brick wall of mix : 1:6 (1 cement: 6 coarse sand) </t>
  </si>
  <si>
    <t>13.9.1</t>
  </si>
  <si>
    <t>Cement plaster 1:3 (1 cement: 3 coarse sand) finished with a floating coat of neat cement.:12 mm cement plaster</t>
  </si>
  <si>
    <t>13.11</t>
  </si>
  <si>
    <t xml:space="preserve">18 mm cement plaster in two coats under layer 12 mm thick cement plaster 1:5 (1 cement: 5 coarse sand) finished with a top layer 6mm thick cement plaster 1:6 (1 cement: 6 fine sand). </t>
  </si>
  <si>
    <t>13.16.1</t>
  </si>
  <si>
    <t>6 mm cement plaster of mix : 1:3 (1 cement: 3 fine sand)  Note: For Ceiling plaster and RCC exposed surfaces.</t>
  </si>
  <si>
    <t>13.21</t>
  </si>
  <si>
    <t>Extra for providing and mixing water proofing material in cement plaster work in proportion recommended by the manufacturers.</t>
  </si>
  <si>
    <t>Per bag of 50kg cement</t>
  </si>
  <si>
    <t>13.47.1</t>
  </si>
  <si>
    <t>Finishing walls with Premium Acrylic Smooth exterior paint with Silicone additives of required shade : New work (Two or more coats applied @ 1.43 ltr/ 10 sqm over and including priming coat of exterior primer applied @ 2.20 kg/ 10 sqm)</t>
  </si>
  <si>
    <t>13.52.1</t>
  </si>
  <si>
    <t>Finishing with Epoxy paint (two or more coats) at all locations prepared and applied as per manufacturer’s specifications including appropriate priming coat, preparation of surface, etc. complete.
On steel work</t>
  </si>
  <si>
    <t>13.61.1</t>
  </si>
  <si>
    <t xml:space="preserve">Painting with synthetic enamel paint of approved brand and manufacture to give an even shade : Two or more coats on new work. </t>
  </si>
  <si>
    <t>13.80</t>
  </si>
  <si>
    <t>Providing and applying white cement based putty of average thickness 1mm thick, of approved brand and manufacture over the plastered wall surface of to prepare the surface even and smooth complete.</t>
  </si>
  <si>
    <t>13.83.2</t>
  </si>
  <si>
    <t>Wall painting with premium acrylic emulsion paint of interior grade, having VOC (Volatile Organic Compound ) content less than 50 grams/ litre of approved brand and manufacture, including applying additional coats wherever required to achieve even shade and colour.
Two coats</t>
  </si>
  <si>
    <t>13.85.3</t>
  </si>
  <si>
    <t>Applying priming coats with primer of approved brand and manufacture,having low VOC (Volatile Organic Compound ) content.
With water thinnable cement primer on wall surface having VOC content less than 50 grams/litre</t>
  </si>
  <si>
    <t>SUB HEAD : 17.0 SANITARY INSTALLATIONS</t>
  </si>
  <si>
    <t>17.32.4</t>
  </si>
  <si>
    <t xml:space="preserve">Providing and fixing mirror of superior glass (of approved quality) and of required shape and size with plastic moulded frame of approved make and shade with 6 mm thick hard board backing : Rectangular shape1500X450 mm </t>
  </si>
  <si>
    <t>SUB HEAD : 18.0  WATER SUPPLY</t>
  </si>
  <si>
    <t>18.7</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</si>
  <si>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Internal work - Exposed on wall</t>
  </si>
  <si>
    <t xml:space="preserve">18.7.3 </t>
  </si>
  <si>
    <t>25 mm nominal outer dia Pipes.</t>
  </si>
  <si>
    <t>18.8</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</si>
  <si>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t>
  </si>
  <si>
    <t>18.8.1</t>
  </si>
  <si>
    <t>15 mm nominal outer dia Pipes</t>
  </si>
  <si>
    <t>18.8.2</t>
  </si>
  <si>
    <t>20 mm nominal outer dia Pipes</t>
  </si>
  <si>
    <t>18.8.3</t>
  </si>
  <si>
    <t>25 mm nominal outer dia Pipes</t>
  </si>
  <si>
    <t>18.8.4</t>
  </si>
  <si>
    <t>32 mm nominal outer dia Pipes</t>
  </si>
  <si>
    <t>18.9</t>
  </si>
  <si>
    <t xml:space="preserve">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
External work
</t>
  </si>
  <si>
    <t>18.9.3</t>
  </si>
  <si>
    <t xml:space="preserve">18.9.3 25 mm nominal dia Pipes
</t>
  </si>
  <si>
    <t>18.9.4</t>
  </si>
  <si>
    <t>18.9.4 32 mm nominal dia Pipes</t>
  </si>
  <si>
    <t>18.9.5</t>
  </si>
  <si>
    <t>18.9.5 40 mm nominal dia Pipes</t>
  </si>
  <si>
    <t>18.9.6</t>
  </si>
  <si>
    <t xml:space="preserve">18.9.6 50 mm nominal dia Pipes
</t>
  </si>
  <si>
    <t>18.48</t>
  </si>
  <si>
    <t xml:space="preserve">Providing and placing on terrace (at all floor levels) polyethylene water storage tank, ISI : 12701 marked, with cover and suitable locking arrangement and making necessary holes for inlet, outlet and overflow pipes but without fittings and the base support for tank. </t>
  </si>
  <si>
    <t>18.53A</t>
  </si>
  <si>
    <t>Providing and fixing C.P. Brass extension nipple (size 15mmx50mm) of approved make and quality as per direction of Engineer-in-charge.</t>
  </si>
  <si>
    <t>SUB HEAD : 19.0 DRAINAGE</t>
  </si>
  <si>
    <t>19.4.1.1</t>
  </si>
  <si>
    <t xml:space="preserve">Providing and fixing square-mouth S.W. gully trap class SP-1 complete with C.I. grating brick masonry chamber with water tight C.I. cover with frame of 300 x300 mm size (inside) the weight of cover to be not less than 4.50 kg and frame to be not less than 2.70 kg as per standard design,  100x100 mm size P type : With common burnt clay F.P.S. (non modular) bricks of class designation 7.5 </t>
  </si>
  <si>
    <t>19.6</t>
  </si>
  <si>
    <t>Providing and laying non-pressure NP2 class (light duty) R.C.C. pipes with collars jointed with stiff mixture of cement mortar in the proportion of 1:2 (1 cement : 2 fine sand) including testing of joints etc. complete :</t>
  </si>
  <si>
    <t>19.6.3</t>
  </si>
  <si>
    <t>250 mm dia. R.C.C. pipe</t>
  </si>
  <si>
    <t>19.6.4</t>
  </si>
  <si>
    <t>300 mm dia. R.C.C. pipe</t>
  </si>
  <si>
    <t>19.6.5</t>
  </si>
  <si>
    <t>450 mm dia. R.C.C. pipe</t>
  </si>
  <si>
    <t>19.7.1.1</t>
  </si>
  <si>
    <t>Constructing brick masonry manhole in cement mortar 1:4 ( 1 cement : 4 coarse sand ) with R.C.C. top slab with 1:1.5:3 mix (1 cement : 1.5 coarse sand (zone- III) : 3 graded stone aggregate 20 mm nominal size), foundation concrete 1:4:8 mix (1 cement : 4 coarse sand (zone- III)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Inside size 90x80 cm and 45 cm deep including C.I. cover with frame (light duty) 455x610 mm internal dimensions, total weight of cover and frame to be not less than 38 kg (weight of cover 23 kg and weight of frame 15 kg)-With common burnt clay F.P.S. (non modular) bricks of class designation 7.5</t>
  </si>
  <si>
    <t>SUB HEAD : 21.0 ALUMINIUM WORK</t>
  </si>
  <si>
    <t>21.1.1.2</t>
  </si>
  <si>
    <t xml:space="preserve">Providing and fixing aluminium work for doors, windows, ventilators and partitions with extruded built up standard tubular sections/appropriate Z sections and other sections of approved make conforming to IS: 733 and IS: 1285, fixing with dash fasteners of required dia and size, including necessary filling up the gaps at junctions, i.e. at top, bottom and sides with required EPDM rubber/neoprene gasket etc. Aluminium sections shall be smooth, rust free, straight, mitred and jointed mechanically wherever required including cleat angle, Aluminium snap beading for glazing / panelling, C.P. brass/ stainless steel screws, all complete as per architectural drawings and the directions of Engineer-in-charge. (Glazing, panelling and dash fasteners to be paid for separately) - For fixed portion : Powder coated aluminium (minimum thickness of powder coating 50 micron) </t>
  </si>
  <si>
    <t>Kg</t>
  </si>
  <si>
    <t>21.1.2.2</t>
  </si>
  <si>
    <t>Providing and fixing aluminium work for doors, windows, ventilators and partitions with extruded built up standard tubular sections/appropriate Z sections and other sections of approved make conforming to IS: 733 and IS: 1285, fixing with dash fasteners of required dia and size, including necessary filling up the gaps at junctions, i.e. at top, bottom and sides with required EPDM rubber/neoprene gasket etc. Aluminium sections shall be smooth, rust free, straight, mitred and jointed mechanically wherever required including cleat angle, Aluminium snap beading for glazing / panelling, C.P. brass/ stainless steel screws, all complete as per architectural drawings and the directions of Engineer-in-charge. (Glazing, panelling and dash fasteners to be paid for separately) -For shutters of doors, windows &amp; ventilators including
providing and fixing hinges/ pivots and making provision for fixing of fittings wherever required including the cost of EPDM rubber / neoprene gasket required (Fittings shall be paid for separately):Powder coated aluminium (minimum thickness of powder coating 50 micron)</t>
  </si>
  <si>
    <t>21.3.2</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</si>
  <si>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item):With float glass panes of 5 mm thickness (weight not less than 12.50 kg/sqm)</t>
  </si>
  <si>
    <t>21.4.1</t>
  </si>
  <si>
    <t>Providing and fixing double action hydraulic floor spring of approved brand and manufacture conforming to IS : 6315, having brand logo embossed on the body / plate with double spring mechanism and door weight upto 125 kg, for doors, including cost of cutting floors, embedding in floors as required and making good the same matching to the existing floor finishing and cover plates with brass pivot and single piece M.S. sheet outer box with slide plate etc. complete as per the direction of Engineer-in-charge.: With stainless steel cover plate minimum 1.25 mm thickness</t>
  </si>
  <si>
    <t>21.8.1</t>
  </si>
  <si>
    <t>Filling the gap in between aluminium frame &amp; adjacent RCC/ Brick/ Stone work by providing weather silicon sealant over backer rod of approved quality as per architectural drawings and direction of Engineer-in-charge complete.-Upto 5mm depth and 5 mm width .
Note: This item also applicable for wooden/uPVC frames and masonry/urinal/WC/wash basin/RCC gaps.</t>
  </si>
  <si>
    <t>Providing and fixing Brass 100 mm mortice latch and lock with 6 levers without pair of handles (best make of approved quality) for aluminium doors including necessary cutting and making good etc. complete.</t>
  </si>
  <si>
    <t>SUB HEAD : 22.0 WATER PROOFING</t>
  </si>
  <si>
    <t>22.7.1</t>
  </si>
  <si>
    <t>Providing and laying integral cement based water proofing treatment including preparation of surface as required for treatment of roofs,balconies,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
(b)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admixed with water proofing compound conforming to IS : 2645 and approved by Engineer-in-charge to required slope and treating similarly the adjoining walls upto 300 mm height including rounding of junctions of walls and slabs.
(c) After two days of proper curing applying a second coat of cement slurry using 2.75 kg/ sqm of cement admixed with water proofing compound conforming to IS : 2645 and approved by Engineer-in-charge.
(d) 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
(e) The whole terrace so finished shall be flooded with water for a minimum period of two weeks for curing and for final test. “All above operations to be done in order and as directed and specified by the Engineer-in-Charge”:
With average thickness of 120 mm and minimum thickness at khurra as 65 mm.</t>
  </si>
  <si>
    <t>26.86.5</t>
  </si>
  <si>
    <t xml:space="preserve">Providing and fixing factory made single extruded WPC (Wood Polymer Composite) solid door/window/Clerestory windows &amp; other Frames/ Chowkhat comprising of virgin PVC polymer of K value 58-60 (Suspension Grade), calcium carbonate and natural fibers (wood powder/ rice husk/ wheat husk) and non toxic additives (maximum toxicity index of 12 for 100 gms) fabricated with miter joints after applying PVC solvent cement and screwed with full body threaded star headed SS screws having minimum frame density of 750 kg/cum, screw withdrawal strength of 2200 N (Face) &amp; 1100 N (Edge), minimum compressive strength of 58 N/mm2, modulus of elasticity 900 N/mm2 and resistance to spread of flame of Class A category with property of being termite/borer proof, water/moisture proof and fire retardant and fixed in position with M.S hold fast/lugs/SS dash fasteners of required dia and length complete as per direction of Engineer-In- Charge. (M.S hold fast/lugs or SS dash fasteners shall be paid for separately).
Note: For WPC solid door/window frames, minus 5 mm tolerance in dimensions i.e depth and width of profile shall be acceptable. Variation in profile dimensions on plus side shall be acceptable but no extra payment
on this account shall be made.
26.86.5 Frame size 65 x 100 mm
</t>
  </si>
  <si>
    <t>26.87.1</t>
  </si>
  <si>
    <t xml:space="preserve">26.87  Providing and fixing factory made single extruded WPC (Wood Polymer Composite) solid plain flush door shutter of required size comprising of virgin polymer of K value 58-60 (Suspension Grade), calcium carbonate and natural fibers (wood powder/ rice husk/wheat husk) and non toxic additives (maximum toxicity index of 12 for 100 gms) having minimum density of 650 kg/cum and screw withdrawal strength of 1800 N (Face) &amp; 900 N (Edge), minimum compressive strength 50 N/mm2, modulus of elasticity 850 N/mm2 and resistance to spread of flame of Class A category with property of being termite/borer proof, water/moisture proof and fire retardant and fixing with stainless steel butt hinges of required size with necessary full body threaded star headed counter sunk S.S screws, all as per direction of Engineer-In- Charge. (Note: stainless steel butt hinges and necessary S.S screws shall be paid separately)
26.87.1 30 mm thick
</t>
  </si>
  <si>
    <t>TOTAL FOR SCHEDULE ITEMS -CIVIL-FOR COMMUNITY CENTER</t>
  </si>
  <si>
    <t>DSR 2023-SCHEDULE ITEMS - CIVIL-FOR FIELD HOSTEL</t>
  </si>
  <si>
    <r>
      <t>Providing and laying cement concrete in retaining walls, return walls, walls (any thickness) including attached pilasters, columns, piers, abutments, pillars, posts, struts, buttresses, string or lacing courses,</t>
    </r>
    <r>
      <rPr>
        <b/>
        <sz val="12"/>
        <rFont val="Calibri"/>
        <family val="2"/>
        <scheme val="minor"/>
      </rPr>
      <t xml:space="preserve"> parapets, coping</t>
    </r>
    <r>
      <rPr>
        <sz val="12"/>
        <rFont val="Calibri"/>
        <family val="2"/>
        <scheme val="minor"/>
      </rPr>
      <t>, bed blocks, anchor blocks, plain window sills, fillets, sunken floor etc., up to floor five level, excluding the cost of centering, shuttering and finishing: 1:2:4 (1 Cement : 2 coarse sand (zone-III) derived from natural sources : 4 graded stone aggregate 20 mm nominal size derived from natural sources)</t>
    </r>
  </si>
  <si>
    <t>SUB HEAD :5.0 REINFORCED CEMENT CONCRETE</t>
  </si>
  <si>
    <t>Providing and laying in position ready mixed or site batched design mix ncement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All works upto plinth level.
Concrete of M25 grade with minimum cement content of 330 kg /cum</t>
  </si>
  <si>
    <t>Providing and laying in position ready mixed or site batched design mix ncement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All works above plinth level upto floor V level.
Concrete of M25 grade with minimum cement content of 330 kg /cum</t>
  </si>
  <si>
    <t>SUB HEAD :8.0  MASONRY WORK</t>
  </si>
  <si>
    <t>SUB HEAD : 9.0 WOOD AND PVC WORK</t>
  </si>
  <si>
    <t>9.1.1</t>
  </si>
  <si>
    <t xml:space="preserve"> Providing wood work in frames of doors, windows, clerestory windows and other frames, wrought framed and fixed in position with hold fast lugs or with dash fasteners of required dia &amp; length ( hold fast lugs or dash fastener shall be paid for separately). Second class teak wood </t>
  </si>
  <si>
    <t>9.7.7.1</t>
  </si>
  <si>
    <t>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 float glass panes,4 mm thick glass pane (weight not less than 10 kg/sqm).</t>
  </si>
  <si>
    <t>9.7.7.2</t>
  </si>
  <si>
    <t>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 float glass panes, 5 mm thick glass pane (weight not less than 12.5 kg per sqm)</t>
  </si>
  <si>
    <t>9.7.8</t>
  </si>
  <si>
    <t>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 
Fly proof stainless steel grade 304 wire gauge with 0.5 mm dia. wire and 1.4 mm wide aperture with matching wood beading.</t>
  </si>
  <si>
    <t>9.20.1</t>
  </si>
  <si>
    <t>Providing and fixing ISI marked flush door shutters conforming to IS : 2202 (Part I) decorative type, core of block board construction with frame of 1st class hard wood and well matched teak 3 ply veneering with vertical grains or cross bands and face veneers on both faces of shutters. 35 mm thick including ISI marked Stainless Steel butt hinges with necessary screws</t>
  </si>
  <si>
    <t>9.23</t>
  </si>
  <si>
    <t xml:space="preserve">Extra for providing lipping with 2nd class teak wood battens 25 mm minimum depth on all edges of flush door shutters (over all area of door shutter to be measured). </t>
  </si>
  <si>
    <t>9.74.1</t>
  </si>
  <si>
    <t>Providing and fixing bright finished brass tower bolts (barrel type) with
necessary screws etc. complete :
250X10 mm</t>
  </si>
  <si>
    <t>9.74.3</t>
  </si>
  <si>
    <t>Providing and fixing bright finished brass tower bolts (barrel type) with
necessary screws etc. complete :
150X10 mm</t>
  </si>
  <si>
    <t>9.75.2</t>
  </si>
  <si>
    <t>Providing and fixing bright finished brass door latch with necessary screws etc. complete :
250x16x5 mm</t>
  </si>
  <si>
    <t>9.76</t>
  </si>
  <si>
    <t>Providing and fixing bright finished brass 100 mm mortice latch and lock with 6 levers and a pair of lever handles of approved quality with necessary screws etc. complete.</t>
  </si>
  <si>
    <t>9.81.1</t>
  </si>
  <si>
    <t>Providing and fixing bright finished brass handles with screws etc. complete:
125MM</t>
  </si>
  <si>
    <t>9.82</t>
  </si>
  <si>
    <t>Providing and fixing bright finished brass hanging type floor door stopper
with necessary screws, etc. complete.</t>
  </si>
  <si>
    <t>9.84</t>
  </si>
  <si>
    <t>Providing and fixing aluminium extruded section body tubular type universal hydraulic door closer (having brand logo with Is, IS : 3564, embossed on the body, door weight up to 36 kg to 80 kg and door width from 701 mm to 1000 mm), with double speed adjustment with necessary accessories and screws etc. complete.</t>
  </si>
  <si>
    <t>9.114.2</t>
  </si>
  <si>
    <t>Providing and fixing magnetic catcher of approved quality in cupboard / ward robe shutters, including fixing with necessary screws etc. complete.
Double strip (horizontal type)</t>
  </si>
  <si>
    <t>9.129</t>
  </si>
  <si>
    <t>Providing and fixing cup board shutters 25 mm thick, with Pre-laminated flat pressed three layer particle board or graded wood particle board IS: 12823 marked, exterior grade (Grade | Type Il), having one side
decorative lamination and other side balancing lamination, including IInd class teak wood lipping of 25 mm wide x12 mm thick with necessary screws and bright finished stainless steel piano hinges, complete as per
direction of the Engineer-in-Charge.</t>
  </si>
  <si>
    <t>9.147.A4.2</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</si>
  <si>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Three track three panels sliding window with two glazed &amp; one wire mesh panels with Aluminium channel for roller track, wool pile, nylon rollers with SS 304 body. 
Using R3 series with frame (98 mm &amp; above) x (40 mm &amp; above) &amp; both glazed and fly screen sash (30 mm &amp; above) x (55 mm &amp; above) with zinc alloy (Zamak) powder coated handle on every glazed panel along with multi-point locking system. (Height upto 1.8m).</t>
  </si>
  <si>
    <t>9.147.A4.3</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</si>
  <si>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Three track three panels sliding window with two glazed &amp; one wire mesh panels with Aluminium channel for roller track, wool pile, nylon rollers with SS 304 body. 
Using R4 series with frame (115 mm &amp; above) x (45 mm &amp; above) &amp; both glazed and fly screen sash (44 mm &amp; above) x (55 mm &amp; above) with zinc alloy (zamak) powder coated handle on every glazed panel along with multipoint locking system. (Height above 1.8m)</t>
  </si>
  <si>
    <t>9.147.B3.2</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</si>
  <si>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Three track three panels sliding door with two glazed &amp; one wire mesh panels with Aluminium channel for roller track, wool pile, zinc alloy (Zamak) powder coated handle on two panels along with multi-point locking system, adjustable nylon rollers with SS 304 body.
Using R4 series with frame (115 mm &amp; above) x (45 mm &amp; above) &amp; both glazed and fly screen sash (44 mm &amp; above) x (85 mm &amp; above). (Height above 2.5 metre).</t>
  </si>
  <si>
    <t>9.147.C2.3</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</si>
  <si>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Fixed window / ventilator with mullion / transom. 
Using R3 series with frame (55 mm &amp; above )x (45 mm &amp; above) &amp; mullion (55 mm &amp; above)x (65 mm &amp; above). (Height upto 2.5 metre)</t>
  </si>
  <si>
    <t>9.147.C2.4</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</si>
  <si>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Fixed window / ventilator with mullion / transom. 
Using R4 series with frame (64 mm &amp; above )x (50 mm &amp; above) &amp; mullion (64 mm &amp; above)x (70 mm &amp; above). (Height above 2.5 metre)</t>
  </si>
  <si>
    <t>9.165.2</t>
  </si>
  <si>
    <t>Providing and fixing bright /matt finished Stainless Steel handles of approved quality &amp; make with necessary screws etc all complete.
100mm</t>
  </si>
  <si>
    <r>
      <t xml:space="preserve">Steel work welded in built up sections/ framed work, including cutting, hoisting, fixing in position and applying a priming coat of approved steel primer using structural steel etc. as required. In gratings, frames, guard bar, ladder, railings, brackets, gates and similar works
</t>
    </r>
    <r>
      <rPr>
        <b/>
        <sz val="11"/>
        <color theme="1"/>
        <rFont val="Calibri"/>
        <family val="2"/>
        <scheme val="minor"/>
      </rPr>
      <t/>
    </r>
  </si>
  <si>
    <t>SUB HEAD :11.0 FLOORING</t>
  </si>
  <si>
    <t>11.23.5</t>
  </si>
  <si>
    <r>
      <t xml:space="preserve">Marble stone flooring with 18 mm thick marble stone, as per sample of marble approved by Engineer-in-charge, over 20 mm (average) thick base of cement mortar 1:4 (1 cement : 4 coarse sand) laid and jointed with grey cement slurry, including rubbing and polishing complete with: </t>
    </r>
    <r>
      <rPr>
        <b/>
        <sz val="12"/>
        <rFont val="Calibri"/>
        <family val="2"/>
        <scheme val="minor"/>
      </rPr>
      <t>Udaipur green marbles.</t>
    </r>
  </si>
  <si>
    <t>11.24</t>
  </si>
  <si>
    <t xml:space="preserve">Extra for pre finished nosing to treads of steps of marble stone. </t>
  </si>
  <si>
    <t>11.25</t>
  </si>
  <si>
    <t>Extra for marble stone flooring in treads of steps and risers using single length up to 2.00 metre.</t>
  </si>
  <si>
    <t>11.41A.3.1</t>
  </si>
  <si>
    <t xml:space="preserve">Providing and laying Vitrified tiles in floor in different sizes (thickness to be specified by the manufacturer) with water absorption less than 0.08% and conforming to 1S:15622,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tiles Matt/Antiskid finish of size. 
Size of Tile 600 x 600 mm </t>
  </si>
  <si>
    <t>12.21.1</t>
  </si>
  <si>
    <t>Providing gola 75x75 mm in cement concrete 1:2:4 (1 cement : 2 coarse sand : 4 stone aggregate 10 mm and down gauge), including finishing with  cement mortar 1:3 (1 cement : 3 fine sand) as per standard design :  In 75x75 mm deep chase.</t>
  </si>
  <si>
    <t>12.22</t>
  </si>
  <si>
    <t>Making khurras 45x45 cm with average minimum thickness of 5cm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</si>
  <si>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r>
      <t xml:space="preserve">6 mm cement plaster of mix : 1:3 (1 cement: 3 fine sand)  </t>
    </r>
    <r>
      <rPr>
        <b/>
        <sz val="12"/>
        <rFont val="Calibri"/>
        <family val="2"/>
        <scheme val="minor"/>
      </rPr>
      <t>Note</t>
    </r>
    <r>
      <rPr>
        <sz val="12"/>
        <rFont val="Calibri"/>
        <family val="2"/>
        <scheme val="minor"/>
      </rPr>
      <t>: For Ceiling plaster and RCC exposed surfaces.</t>
    </r>
  </si>
  <si>
    <t>13.85.1</t>
  </si>
  <si>
    <t xml:space="preserve">Applying priming coat : With ready mixed pink or Grey primer of approved brand and manufacture on wood work (hard and soft wood) </t>
  </si>
  <si>
    <t>13.114</t>
  </si>
  <si>
    <t>Melamine polishing on wood work (one or more coat).</t>
  </si>
  <si>
    <t>SUB HEAD :17.0 SANITARY INSTALLATIONS</t>
  </si>
  <si>
    <t>17.7.4</t>
  </si>
  <si>
    <t>Providing and fixing wash basin with C.I. brackets, 15 mm C.P. brass pillar taps, 32 mm C.P. brass waste of standard pattern, including painting of fittings and brackets, cutting and making good the walls wherever require: White Vitreous China Flat back wash basin size 550x 400 mm with single 15 mm C.P. brass pillar tap</t>
  </si>
  <si>
    <t>17.10.1.2</t>
  </si>
  <si>
    <t>Providing and fixing Stainless Steel A ISI 304 (18/8) kitchen sink as per IS:13983 with C.I. brackets and stainless steel plug 40 mm,including painting of fittings and brackets, cutting and making good the walls wherever required :Kitchen sink with drain board :
17.10.1.2 510x1040 mm bowl depth 225 mm510x1040 mm bowl depth 200 mm</t>
  </si>
  <si>
    <t>17.28.2</t>
  </si>
  <si>
    <t>Providing and fixing P.V.C. waste pipe for sink or wash basin including P.V.C. waste fittings complete.Flexible pipe:</t>
  </si>
  <si>
    <t>17.28.2.1</t>
  </si>
  <si>
    <t xml:space="preserve">Flexibile pipe 32 mm dia </t>
  </si>
  <si>
    <t>17.28.2.2</t>
  </si>
  <si>
    <t xml:space="preserve">Flexibile pipe 40 mm dia </t>
  </si>
  <si>
    <t>17.31</t>
  </si>
  <si>
    <t>Providing and fixing 600x450 mm beveled edge mirror of superior glass (of approved quality) complete with 6 mm thick hard board ground fixed to wooden cleats with C.P. brass screws and washers complete.</t>
  </si>
  <si>
    <t>17.33</t>
  </si>
  <si>
    <t>Providing and fixing 600x120x5 mm glass shelf with edges round off, supported on anodised aluminium angle frame with C.P. brass brackets and guard rail complete fixed with 40 mm long screws, rawl plugs etc., complete.</t>
  </si>
  <si>
    <t>17.34.1</t>
  </si>
  <si>
    <t>Providing and fixing toilet paper holder :C.P. brass</t>
  </si>
  <si>
    <t>SUB HEAD : 18.0 WATER SUPPLY</t>
  </si>
  <si>
    <t>18.22.2</t>
  </si>
  <si>
    <t xml:space="preserve">Providing and fixing C.P. brass shower rose with 15 or 20 mm inlet :
150 mm diameter
</t>
  </si>
  <si>
    <t>18.53.1</t>
  </si>
  <si>
    <t xml:space="preserve">Providing and fixing C.P. brass angle valve for basin mixer and geyser points of approved quality conforming to IS:8931, 15 mm nominal bore
</t>
  </si>
  <si>
    <t>18.77</t>
  </si>
  <si>
    <t>Cutting holes up to 15x15 cm in R.C.C. floors and roofs for passing drain pipe etc. and repairing the hole after insertion of drain pipe etc. with cement concrete 1:2:4 (1 cement : 2 coarse sand : 4 graded stone aggregate 20 mm nominal size), including finishing complete so as to make it leak proof.</t>
  </si>
  <si>
    <t>22.3</t>
  </si>
  <si>
    <t xml:space="preserve">Providing and laying water proofing treatment to vertical and horizontal surfaces of depressed portions of W.C., kitchen and the like consisting of:
(i) Ist course of applying cement slurry @ 4.4 kg/sqm mixed with water proofing compound conforming to IS : 2645 in recommended proportions including rounding off junction of vertical and horizontal surface.
(ii) IInd course of 20 mm cement plaster 1:3 (1 cement : 3 coarse sand) mixed with water proofing compound in recommended proportion including rounding off junction of vertical and horizontal surface.
(iii) IIIrd course of applying blown or residual bitumen applied hot at 1.7 kg. per sqm of area.
(iv) IVth course of 400 micron thick PVC sheet. (Overlaps at joints of PVC sheet should be 100 mm wide and pasted to each other with bitumen @ 1.7 kg/sqm).
</t>
  </si>
  <si>
    <t>22.6</t>
  </si>
  <si>
    <t>Providing and laying water proofing treatment on roofs of slabs by applying cement slurry mixed with water proofing cement compound consisting of applying:
(a) after surface preparation, first layer of slurry of cement @ 0.488 kg/ sqm mixed with water proofing cement compound @ 0.253 kg/sqm.
(b) laying second layer of Fibre glass cloth when the first layer is still green. Overlaps of joints of fibre cloth should not be less than 10 cm.
(c) third layer of 1.5 mm thickness consisting of slurry of cement @ 1.289kg/sqm mixed with water proofing cement compound @ 0.670 kg/sqm and coarse sand @ 1.289 kg/sqm. This will be allowed to air cure for 4 hours followed by water curing for 48 hours. The entire treatment will be taken upto 30 cm on parapet wall and tucked into groove in parapet all around.
(d) fourth and final layer of brick tiling with cement mortar (which will be paid for separately).
For the purpose of measurement the entire treated surface will be measured.</t>
  </si>
  <si>
    <t>SUB HEAD : 26.0 NEW TECHNOLOGIES AND MATERIALS</t>
  </si>
  <si>
    <t>TOTAL FOR SCHEDULE ITEMS -CIVIL-FOR FIELD HOSTEL</t>
  </si>
  <si>
    <t>DSR 2022</t>
  </si>
  <si>
    <t>DSR 2022-SCHEDULE ITEMS - ELECTRICAL-FOR COMMUNITY CENTER</t>
  </si>
  <si>
    <t>1.10.3</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</si>
  <si>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C</t>
  </si>
  <si>
    <t>Point</t>
  </si>
  <si>
    <t>1.55.3</t>
  </si>
  <si>
    <t>Wiring for group controlled (looped) light point/fan point/exhaust fan point/  call bell point ( without independent switch etc.) with 1.5 sq. mm FRLS PVC insulated copper conductor single core cable in surface/ recessed PVC conduit,  and earthing the point with 1.5 sq. mm FRLS PVC insulated copper conductor single core cable etc. as required.
Group C</t>
  </si>
  <si>
    <t>Wiring for twin control light point with 1.5 sq.mm FRLS PVC insulated copper conductor single core cable in surface / recessed medium class PVC conduit, 2 way modular switch, modular plate, suitable GI box and earthing the point with 1.5 sq.mm FRLS PVC insulated copper conductor single core cable etc. as required.</t>
  </si>
  <si>
    <t>1.14.2</t>
  </si>
  <si>
    <t>Wiring for circuit/ submain wiring along with earth wire with the following sizes of FRLS PVC insulated copper conductor, single core cable in surface/ recessed medium class PVC conduit as required. 
2 X 2.5 sq. mm + 1 X 2.5 sq. mm earth wire</t>
  </si>
  <si>
    <t>1.14.3</t>
  </si>
  <si>
    <t>Wiring for circuit/ submain wiring along with earth wire with the following sizes of FRLS PVC insulated copper conductor, single core cable in surface/ recessed medium class PVC conduit as required. 
2 X 4 sq. mm + 1 X 4 sq. mm earth wire</t>
  </si>
  <si>
    <t>1.14.4</t>
  </si>
  <si>
    <t>Wiring for circuit/ submain wiring alongwith earth wire with the following sizes of FRLS PVC insulated copper conductor, single core cable in surface/ recessed medium class PVC conduit as required.
2 X 6 sq. mm + 1 X 6 sq. mm earth wire</t>
  </si>
  <si>
    <t>1.24.1</t>
  </si>
  <si>
    <t>Supplying and fixing following modular switch/ socket on the existing modular plate &amp; switch box including connections but excluding modular plate etc. as required.
5/6 A switch</t>
  </si>
  <si>
    <t>1.24.3</t>
  </si>
  <si>
    <t>Supplying and fixing following modular switch/ socket on the existing modular plate &amp; switch box including connections but excluding modular plate etc. as required.
15/16 A switch</t>
  </si>
  <si>
    <t>1.24.4</t>
  </si>
  <si>
    <t>Supplying and fixing following modular switch/ socket on the existing modular plate &amp; switch box including connections but excluding modular plate etc. as required.
3 pin 5/6 A socket outlet</t>
  </si>
  <si>
    <t>1.24.5</t>
  </si>
  <si>
    <t>Supplying and fixing following modular switch/ socket on the existing modular plate &amp; switch box including connections but excluding modular plate etc. as required.
6 pin 15/16 A socket outlet</t>
  </si>
  <si>
    <t>Supplying and fixing two module stepped type electronic fan regulator on the existing modular plate switch box including connections but excluding modular plate etc. as required.</t>
  </si>
  <si>
    <t>1.27.1</t>
  </si>
  <si>
    <t xml:space="preserve">Supplying and fixing following size/ modules, GI box alongwith modular base &amp; cover plate for modular switches in recess etc.as required.
1 or 2 Module (75mmX75mm)
</t>
  </si>
  <si>
    <t>1.27.2</t>
  </si>
  <si>
    <t xml:space="preserve">Supplying and fixing following size/ modules, GI box alongwith modular base &amp; cover plate for modular switches in recess etc.as required.
3 Module (100mmX75mm)
</t>
  </si>
  <si>
    <t>1.27.3</t>
  </si>
  <si>
    <t xml:space="preserve">Supplying and fixing following size/ modules, GI box alongwith modular base &amp; cover plate for modular switches in recess etc.as required.
4 Module (125mmX75mm)
</t>
  </si>
  <si>
    <t>1.27.4</t>
  </si>
  <si>
    <t xml:space="preserve">Supplying and fixing following size/ modules, GI box alongwith modular base &amp; cover plate for modular switches in recess etc.as required.
6 Module (200mmX75mm)
</t>
  </si>
  <si>
    <t>2.3.3</t>
  </si>
  <si>
    <t>Supplying and fixing following way, single pole and neutral, sheet steel, MCB distribution board, 240 V, on surface/ recess, complete with tinned copper bus bar, neutral bus bar, earth bar, din bar, interconnections, powder painted including earthing etc. as required. (But without MCB/RCCB/Isolator)
12 way , Double door</t>
  </si>
  <si>
    <t>2.4.3</t>
  </si>
  <si>
    <t>Supplying and fixing following way, horizontal type three pole and neutral, sheet steel, MCB distribution board, 415 V, on surface/ recess, complete with tinned copper bus bar, neutral bus bar, earth bar, din bar, interconnections, powder painted including earthing etc. as required. (But without MCB/RCCB/Isolator)
8 way (4 + 24), Double door</t>
  </si>
  <si>
    <t>2.10.1</t>
  </si>
  <si>
    <t>Supplying and fixing 5 A to 32 A rating, 240/415 V, 10 kA, "C" curve, miniature circuit breaker suitable for inductive load of following poles in the existing MCB DB complete with connections, testing and commissioning etc. as required.
Single pole</t>
  </si>
  <si>
    <t>2.10.3</t>
  </si>
  <si>
    <t>Supplying and fixing 5 A to 32 A rating, 240/415 V, 10 kA, "C" curve, miniature circuit breaker suitable for inductive load of following poles in the existing MCB DB complete with connections, testing and commissioning etc. as required.
Double pole</t>
  </si>
  <si>
    <t>2.12.1</t>
  </si>
  <si>
    <t>Supplying and fixing following rating, double pole, 240 V,isolator in the existing MCB DB complete with connections, testing and commissioning etc. as required.
40 A</t>
  </si>
  <si>
    <t>2.14.1</t>
  </si>
  <si>
    <t>Supplying and fixing following rating, double pole, (single phase and neutral), 240 V, residual current circuit breaker (RCCB), having a sensitivity current 30 mA in the existing MCB DB complete with connections, testing and commissioning etc. as required.
25 A</t>
  </si>
  <si>
    <t>2.14.2</t>
  </si>
  <si>
    <t>Supplying and fixing following rating, double pole, (single phase and neutral), 240 V, residual current circuit breaker (RCCB), having a sensitivity current 30 mA in the existing MCB DB complete with connections, testing and commissioning etc. as required.
40 A</t>
  </si>
  <si>
    <t>2.14.3</t>
  </si>
  <si>
    <t>Supplying and fixing following rating, double pole, (single phase and neutral), 240 V, residual current circuit breaker (RCCB), having a sensitivity current 30 mA in the existing MCB DB complete with connections, testing and commissioning etc. as required.
63 A</t>
  </si>
  <si>
    <t>2.13.2</t>
  </si>
  <si>
    <t>Supplying and fixing following rating, four pole, 415 V, isolator in the existing MCB DB complete with connections, testing and commissioning etc. as required.
63 A</t>
  </si>
  <si>
    <t>9.1.24</t>
  </si>
  <si>
    <t>Supplying and making end termination with brass compression gland and aluminium lugs for following size of PVC insulated and PVC sheathed / XLPE aluminium conductor cable of 1.1 KV grade as required.
3½ X 95 sq. mm (45mm)</t>
  </si>
  <si>
    <t>TOTAL FOR SCHEDULE ITEMS - ELECTRICAL-FOR COMMUNITY CENTER</t>
  </si>
  <si>
    <t>DSR 2022-SCHEDULE ITEMS - ELECTRICAL-FOR FIELD HOSTEL</t>
  </si>
  <si>
    <t>1.53.1</t>
  </si>
  <si>
    <t>Supplying and drawing of UTP 4 pair CAT 6 LAN Cable in the existing surface/ recessed Steel/ PVC conduit as required.
1 run of cable</t>
  </si>
  <si>
    <t>1.18.2</t>
  </si>
  <si>
    <t>Supplying and drawing following pair 0.5 mm dia FRLS PVC insulated annealed copper conductor, unarmored telephone cable in the existing surface/ recessed steel/ PVC conduit as required.
2 Pair</t>
  </si>
  <si>
    <t>Supplying and drawing co-axial TV cable RG-6 grade, 0.7 mm solid copper conductor PE insulated, shielded with fine tinned copper braid and protected with PVC sheath in the existing surface/ recessed steel/ PVC conduit as required.</t>
  </si>
  <si>
    <t>1.21.1</t>
  </si>
  <si>
    <t>Supplying and fixing of following sizes of medium class PVC conduit along with accessories in surface/recess including cutting the wall and making good the same in case of recessed conduit as required.
20 mm</t>
  </si>
  <si>
    <t>1.21.2</t>
  </si>
  <si>
    <t>Supplying and fixing of following sizes of medium class PVC conduit along with accessories in surface/recess including cutting the wall and making good the same in case of recessed conduit as required.
25 mm</t>
  </si>
  <si>
    <t>1.24.6</t>
  </si>
  <si>
    <t>Supplying and fixing following modular switch/ socket on the existing modular plate &amp; switch box including connections but excluding modular plate etc. as required.
Telephone socket outlet</t>
  </si>
  <si>
    <t>1.24.7</t>
  </si>
  <si>
    <t>Supplying and fixing following modular switch/ socket on the existing modular plate &amp; switch box including connections but excluding modular plate etc. as required.
TV antenna socket outlet</t>
  </si>
  <si>
    <t>1.24.8</t>
  </si>
  <si>
    <t>Supplying and fixing following modular switch/ socket on the existing modular plate &amp; switch box including connections but excluding modular plate etc. as required.
Bell push</t>
  </si>
  <si>
    <t>2.5.3</t>
  </si>
  <si>
    <t>Supplying and fixing of following ways surface/ recess mounting, vertical type, 415 V, TPN MCB distribution board of sheet steel, dust protected, duly powder painted, inclusive of 200 A tinned copper bus bar, common neutral link, earth bar, din bar for mounting MCBs (but without MCBs and incomer ) as required . (Note : Vertical type MCB TPDB is normally used where 3 phase outlets are required.)
12 way (4 + 36), Double door</t>
  </si>
  <si>
    <t>2.2.14</t>
  </si>
  <si>
    <t>Providing and fixing following rating and breaking capacity and pole MCCB with thermomagnetic release and terminal spreaders in existing cubicle panel board including drilling holes in cubicle panel, making connections, etc. as required.
125 A,36KA,FPMCCB</t>
  </si>
  <si>
    <t>9.1.23</t>
  </si>
  <si>
    <t>Supplying and making end termination with brass compression gland and aluminium lugs for following size of PVC insulated and PVC sheathed / XLPE aluminium conductor cable of 1.1 KV grade as required.
3½ X 70 sq. mm (38mm)</t>
  </si>
  <si>
    <t>TOTAL FOR SCHEDULE ITEMS - ELECTRICAL-FOR FIELD HOSTEL</t>
  </si>
  <si>
    <t>Total of Schedule (CIVIL and E&amp; M) Items as per DSR 2021 excluding Rebate</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</si>
  <si>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</si>
  <si>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</si>
  <si>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</si>
  <si>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</si>
  <si>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</si>
  <si>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</si>
  <si>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</si>
  <si>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</si>
  <si>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</si>
  <si>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</si>
  <si>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</si>
  <si>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</si>
  <si>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10= 8 x 9</t>
  </si>
  <si>
    <t>11 = Appl GST% of 10</t>
  </si>
  <si>
    <t xml:space="preserve">A </t>
  </si>
  <si>
    <t>NON-SCHEDULE ITEMS: CIVIL-FOR COMMUNITY CENTER</t>
  </si>
  <si>
    <t>NS_1</t>
  </si>
  <si>
    <t>Diluting &amp; injecting chemical emulsion for   anti termite</t>
  </si>
  <si>
    <t>Diluting and injecting chemical emulsion (to be supplied under other item) for PRE-CONSTRUCTIONAL anti-termite treatment and creating a continuous chemical barrier under and around the columns pits, wall trenches, basement excavation, along the external perimeter of retaining wall, expansion joints, over top surface consolidated earth on which apron is to be laid, surroundings of pipes and conduits etc., complete as per specifications.  Chlorpyriphos/ Lindane emulsifiable concentrate 20% with 1% concentration. (cost of Chlorpyriphos/ Lindane emulsifiable concentrate shall be paid separately. Basement floor slab area of the building only shall be measured for payment)</t>
  </si>
  <si>
    <t>NS_2</t>
  </si>
  <si>
    <t>Door Handle 19 mm dia 200 mm</t>
  </si>
  <si>
    <t>Providing and fixing Door handles satin finish 19mm x 200mm long Dorma/ozon/Crif/dorset or equivalent make  including the cost of all material, labour, transportation, taxes, incidentals etc. as per the directions and instructions of Engineer-in-Charge.</t>
  </si>
  <si>
    <t>NS_3</t>
  </si>
  <si>
    <t>Door Handle 22 mm dia  300 mm</t>
  </si>
  <si>
    <t>Providing and fixing Door handles satin finish 22 mm x 300mm long Dorma/ozon/Crif/dorset or equivalent make  including the cost of all material, labour, transportation, taxes, incidentals etc. as per the directions and instructions of Engineer-in-Charge.</t>
  </si>
  <si>
    <t>NS_4</t>
  </si>
  <si>
    <t>Door Handle 25 mm dia 450 mm</t>
  </si>
  <si>
    <t>Providing and fixing Door handles satin finish 25mm x 450mm long Dorma/ozon/Crif/dorset or equivalent make  including the cost of all material, labour, transportation, taxes, incidentals etc. as per the directions and instructions of Engineer-in-Charge.</t>
  </si>
  <si>
    <t>NS_5</t>
  </si>
  <si>
    <t xml:space="preserve">Wooden Flooring For Badminton Court </t>
  </si>
  <si>
    <t>Supplying, fitting and fixing 8mm thick Laminated wooden Flooring Work conforming to EN13329:2006 with plank size not Iess than 1200 mm X 190 mm (with unilin/tongue-groove locking arrangement) having 0.2mm thk top abrasive layer over a decorative layer followed by a High-density fibreboard (HDF) having density &gt; 850 kg/m3 substrate core over a rasin saturated backing layer and installing through unilin or tongue- groove system (having locking strength not less than 1000 kg/m) over a 2 mm thk underlayer polyurethene foam on polythene sheet 250 micron, over a smooth, flat, hard subfloor free from moisture (&lt; 8%), grease etc. complete in all respect with requisite accessories like end profile, transition profile, reducer 'T' profile etc. wherever required and preparation of base including all other incidental works as per direction &amp; satisfaction of Engineer in charge. Cost of Laminate Floor Accessories only (Skirting ,End edge, T- moulding,Reducer) shall have to be added separately, wherever required. (This work should not be executed without specific permission of Superintending Engineer).   
make:-PERGO /UNITEX / ARMSTRONG or equivalent.</t>
  </si>
  <si>
    <t>NS_6</t>
  </si>
  <si>
    <t>Clay brick tiles for exterior cladding</t>
  </si>
  <si>
    <t xml:space="preserve">Providing AND fixing machine moulded Clay Brick tiles cladding made up of terracotta colour of size 220-240 x 70-80 x 8-10 mm with the water absorbtion less that 14% to be fixed with cement based high polymer modified quick-set tile adhesive (Water based) conforming to IS: 15477, in average 6 mm average thickness on wall and 7-10 mm thick groove making by required spacer in proper alignment with grouting with white colour/matching pigment exterior tile grout material  in required pattern and design and fixing properly on the Exterior walls in proper aligment to give aesthetic texture design as per architectural drawing and at any height  as per the directions of  engineer - incharge. 
Make : LT/ J.J.B/  J.m.B/  Pioneer Bricks    </t>
  </si>
  <si>
    <t>NS_7</t>
  </si>
  <si>
    <t>CNC cut alumunium pannels for Duct</t>
  </si>
  <si>
    <t>Designing, Supplying, Assembling / fabricating, Installation, finishing, testing and fixing in position of 4mm thick 6063 T6 Aluminium with Laser / CNC Cut Elevational Panels (Jali design) of approved make, color, shape, size &amp; design and to have monotonous span without joint as per  specifications &amp; standards with a warranty of 10 years. Fixing of the same to be done on a supporting frame of 50 mm X 50 mm X 3 mm M.S tube and fixed to building structure as per design through 50mmX50mmX mm 5 mm MS angle cleat prefixed to masonry slab or columns with Hilti make anchor fastener along with all related hardware and fixtures. The panel should then be fixed on the M.S. Tube as per architectural drawings or as directed by Engineer-in-charge. Each panel should be riveted on substructure maintaining a gap of 6mm on all the sides between each Panel for Air circulation and expansion and contraction as per installation specifications provided by the Designer/Contractor. The cost shall include all expenses related to storage, material handling, lifting, freight, labour, scaffolding etc as directed by Engineer-in-charge. The product composition to be Aluminium with extended exterior coatings and with a warranty for coating of 10 years. The assmbly to be fixed using 19mm SS 316 (10mm or 20mm), Coloured 22mm Wafer Head Screws, Aluminium rivets etc complete to the satisfaction of the Architect &amp; Engineer in charge and as per directions.  
(M.S. Work to be paid separately).</t>
  </si>
  <si>
    <t>NS_8</t>
  </si>
  <si>
    <t xml:space="preserve">Polycarbonated Sheet  </t>
  </si>
  <si>
    <t xml:space="preserve">Providing fixing &amp; Installation of Atrium Skylights / domes to be made out of coloured Multi-cell heavy duty Polycarbonate Sheets with U.V coating of Lexan or equivalent approved make, 16mm thk of approved colour &amp; design including necessary fixing arrangements, assessories, hardware, bolts etc complete as per manufactures specifications &amp; installation standards as per the technical specifications. (M.S. Work to be paid separately).
</t>
  </si>
  <si>
    <t>NS_9</t>
  </si>
  <si>
    <t>Rubber flooring for Gymnasium</t>
  </si>
  <si>
    <t>Providing and fixing Anti-static, Anti-slip even when wet surface, durable, flexible Rubber flooring suitable for GYM/Sports complex of size 500 x 500 mm minimum with thickness of 15 mm should be laid on the top of the PCC in desired pattern or as per the instruction directed by an engineer incharge.
Make: Vinex/Tugania or equivalent.</t>
  </si>
  <si>
    <t>SQFT</t>
  </si>
  <si>
    <t>NS_10</t>
  </si>
  <si>
    <t>filling in plith floor</t>
  </si>
  <si>
    <t xml:space="preserve">Supplying and filling in plinth with crushed stone sand / river sand under floors, including watering, ramming, consolidating and dressing complete. </t>
  </si>
  <si>
    <t>NS_11</t>
  </si>
  <si>
    <t>Brick work up to plinth</t>
  </si>
  <si>
    <t>Brick work with common burnt clay F.P.S. (non modular) bricks of class designation 7.5 (75kg/sq.cm)in foundation and plinth in Cement mortar 1:6 (1 cement : 6 coarse sand).
Note: Fly ash brick of same class confirming to relevant IS code can also be used if clay bricks of designated class are not available.</t>
  </si>
  <si>
    <t>NS_12</t>
  </si>
  <si>
    <t>Brick work above plinth</t>
  </si>
  <si>
    <t>Brick work with common burnt clay F.P.S. (non modular) bricks of class designation 7.5 (75kg/sq,cm) in superstructure above plinth level up to floor V level in all shapes and sizes in : Cement mortar 1:6 (1 cement : 6 coarse sand) 
Note: Fly ash brick of same class confirming to relevant IS code can also be used if clay bricks of designated class are not available.</t>
  </si>
  <si>
    <t>NS_13</t>
  </si>
  <si>
    <t>half Brick work above plinth</t>
  </si>
  <si>
    <t>Half brick masonry with common burnt clay F.P.S. (non modular) bricks of class designation 7.5 (75kg/sq,cm) in superstructure above plinth level up to floor V level. Cement mortar 1:4 (1 cement :4 coarse sand).
Note: Fly ash brick of same class confirming to relevant IS code can also be used if clay bricks of designated class are not available.</t>
  </si>
  <si>
    <t>NS_14</t>
  </si>
  <si>
    <t>Chicken wire mesh for plaster</t>
  </si>
  <si>
    <t xml:space="preserve">Providing &amp; fixing chicken wire mesh  24 gauge at junctions of RCC and masonry walls including fixing in position, scaffolding etc. complete as directed by Engineer-in-charge. </t>
  </si>
  <si>
    <t>NS_15</t>
  </si>
  <si>
    <t>Groove work in plaster</t>
  </si>
  <si>
    <t>Forming groove of uniform size from 12x12mm and up to 25x15mm in plastered surface as per approved pattern using wooden battens, nailed to the under layer including removal of wooden battens, repairs to the edges of plaster panel and finishing the groove complete as per specifications/drawings and direction of Engineer-in-Charge.</t>
  </si>
  <si>
    <t>NS_16</t>
  </si>
  <si>
    <t>MS sheet box for ceiling Fan</t>
  </si>
  <si>
    <t>Providing and fixing circular/ Hexagonal cast iron or M.S. sheet box for ceiling fan clamp with its top surface hacked for proper bonding, top lid shall be screwed into the  M.S. sheet box . Clamp shall be made of 12mm dia M.S. bar bent to shape.</t>
  </si>
  <si>
    <t>NS_17</t>
  </si>
  <si>
    <t>Vetrifeid wall tiles size 600X600</t>
  </si>
  <si>
    <t xml:space="preserve">Providing and laying ist quality Vitrified wall tiles in different sizes (thickness to be specified by the manufacturer) with water absorption less than 0.08% and conforming to 1S:15622, of approved brand &amp; manufacturer, in all colours and shade, in skirting, riser, and dado laid on 12 mm thick cement mortar 1:3 (1 cement: 3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floor tiles polished finish of size.
Size of Tile 600 x 600 mm </t>
  </si>
  <si>
    <t>NS_18</t>
  </si>
  <si>
    <t>Vetrifeid wall tiles size 1200X1200</t>
  </si>
  <si>
    <t xml:space="preserve">Providing and laying Vitrified wall tiles in different sizes (thickness to be specified by the manufacturer) with water absorption less than 0.08% and conforming to 1S:15622, of approved brand &amp; manufacturer, in all colours and shade, in skirting, riser and dado laid on 12 mm thick cement mortar 1:3 (1 cement: 3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floor tiles polished finish of size.
Size of Tile 600 x 1200 mm </t>
  </si>
  <si>
    <t>NS_19</t>
  </si>
  <si>
    <t>SWR pipe 110 mm</t>
  </si>
  <si>
    <t>Providing, fixing , laying, testing &amp; commissioning (Concealed/surface mounted or underground) uPVC SWR Rigid pipes confirming to IS 13592 Type B of PRICE/SUPREME/FINOLEX or equivalent make  for drainage line including necessary fittings such as couplers, bends, tees, cross tees,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(B) 110mm outer dia.</t>
  </si>
  <si>
    <t>NS_20</t>
  </si>
  <si>
    <t>SWR pipe 75 mm</t>
  </si>
  <si>
    <t>Providing, fixing , laying, testing &amp; commissioning (Concealed/surface mounted or underground) uPVC SWR Rigid pipes confirming to IS 13592 Type B of PRICE/SUPREME/FINOLEX or equivalent make  for drainage line including necessary fittings such as couplers, bends, tees, cross tees,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(B) 75mm outer dia.</t>
  </si>
  <si>
    <t>NS_21</t>
  </si>
  <si>
    <t>Nahani/floor Trap</t>
  </si>
  <si>
    <t>Providing, fixing, testing and commissioning uPVC SWR self cleaning Nahani trap, plain floor trap/ Multi floor trap etc. confirming to IS-14735 of 110 mm dia inlet and 75 mm outlet nominal dia. including fixing PVC reducer of 110mm dia. to 75 mm dia. and jointing with adhessive solvent cement including cost of cutting and making good the walls and floors at all levels etc. complete.</t>
  </si>
  <si>
    <t>NS_22</t>
  </si>
  <si>
    <t>Window SS jali for sliding</t>
  </si>
  <si>
    <t>Providing and fixing stainless steel 304 grade mesh of average width of aperture 1.4 mm and nominal dia of wire 0.50 mm to uPVC/aluminium windows with suitable beading/clips a as per drawings and as directed by engineer in charge. The uPVC/aluminium section of windows shall be measured under relevant items. Actual area of mesh provided shall be measured for payment.</t>
  </si>
  <si>
    <t>toilet sanitary fittings</t>
  </si>
  <si>
    <t>NS_23</t>
  </si>
  <si>
    <t>WC europian floor mounted with cistern</t>
  </si>
  <si>
    <t>Providing and fixing white vitreous china pedestal type water closet (European type W.C. pan) with seat and lid, 10 litre low level white P.V.C. flushing cistern, including flush pipe, with dual flush system, conforming to IS : 7231, with all fittings and fixtures complete including cutting and making good the walls and floors wherever required : W.C. pan with ISI marked white solid plastic seat and lid . Make : Hindware model :Cube standard closet -20092 +sleek fresh dual flush tank-510411 or equivalant.</t>
  </si>
  <si>
    <t>NS_24</t>
  </si>
  <si>
    <t>urinal with flush</t>
  </si>
  <si>
    <t>Providing and fixing white vitreous china flat back urinal of size 385x325x635 mm with back inlet with auto closing concealed urinal valve with wall flange  with necessary fittings (all in C.P. brass) including cutting and making good the walls wherever required complete as per direction by Engineer-in-charge.Make: Jaquar model: URS-WHT-13253N + PRS-CHR-073 or equivalent.
Note:- No extra charge for fixing urinal inlet or outlet to the wall.</t>
  </si>
  <si>
    <t>NS_25</t>
  </si>
  <si>
    <t>Urinal Partitions</t>
  </si>
  <si>
    <t xml:space="preserve">Providing and fixing urinal partition in curved shape with frosted Glass with 8 mm thickness with chrome finish as per manufacture specification of size 900X450 mm with necessary fittings SS 304 plates for proper fixing including making good to the walls wherever required complete as per direction of Engineer-In-Charge.
Make: Jaquar model: JSE-CHR-110UC450X or equivalent.  </t>
  </si>
  <si>
    <t>NS_26</t>
  </si>
  <si>
    <t>Under Counter wash basin</t>
  </si>
  <si>
    <t xml:space="preserve">Providing and fixing premium quality under-counter wash basin of any shape minimum size 605X410X200 mm including  Pillar cock auto closing pressmatic Taps Faucet  with  Click Clack Waste coupling, over flow hole,  standard C.P. bottel trap, union, Long Braided Hose and all chrome finish and making necessary holes for fixing of pillar coack with all other fittings and fixtures complete including cuttings and making good the walls and floor wherever required as per manufacturers specification and direction of Engineer-in-charge.  Make : Jaquar model :FNS-WHT-40701 +PRS-CHR-031L65+ ALD-CHR-729 + ALD-CHR-769L300X190 + ALD-CHR-803AB or equivalant. </t>
  </si>
  <si>
    <t>NS_27</t>
  </si>
  <si>
    <t>Two way bib cock with health fucet</t>
  </si>
  <si>
    <t>Providing and fixing CP Brass 2 way Bib cock with wall flange and Health faucet, flexible hose pipe and wall hook complete. Jaguar FLR-CHR-5041N for Bib cock &amp; ALD-CHR-563 for health facet or equivalent model of approved brands.</t>
  </si>
  <si>
    <t>NS_28</t>
  </si>
  <si>
    <t>Angle Valve</t>
  </si>
  <si>
    <t xml:space="preserve">Providing  and  fixing premium quality C.P.  brass  angle  valve with cover plate  for  WCs, Wash  basin, health Faucet  etc as per  approved quality 15 mm nominal bore  &amp; as per manufacturers specification and direction of Engineer-in-charge. Make : Jaquar model : FLR-CHR-5053N  or equivalant </t>
  </si>
  <si>
    <t>NS_29</t>
  </si>
  <si>
    <t>Toilet paper Holder</t>
  </si>
  <si>
    <t xml:space="preserve">Providing and fixing   premium quality C.P. Toilet Paper Holder  of standard shape and size  complete in all respect as per manufacturers specification and direction of Engineer-in-charge. Make :  Jaquar  Model: AKP-CHR-35753PS or equivalent.  </t>
  </si>
  <si>
    <t>NS_30</t>
  </si>
  <si>
    <t>Grab Bar</t>
  </si>
  <si>
    <t xml:space="preserve">Providing and fixing   premium quality C.P. Grab Bar 450 mm long of standard shape and size  complete in all respect as per manufacturers specification and direction of Engineer-in-charge. Make :  Jaquar  Model: AHS-CHR-1503 or equivalent.  </t>
  </si>
  <si>
    <t>NS_31</t>
  </si>
  <si>
    <t>Stop Coack with Fiitings</t>
  </si>
  <si>
    <t>Providing and fixing premium quality  CP Brass concelead stop coack chrome finish with fitting sleeve, operating lever &amp; adjustable wall flange with seal with Concealed Body of Flush Cock Suitable for 25mm Pipe Line with Protection Cap of standard shape as approved quality with all fittings and fixtures complete including cutting and making good the walls  complete to  in all respect as per manufacturers specification and direction of Engineer-in-charge. Make : Jaquar model :FLR-CHR-5083NK + ALD-081 or equivalant.</t>
  </si>
  <si>
    <t>NS_32</t>
  </si>
  <si>
    <t>SS jali for nahani with cockrage trap</t>
  </si>
  <si>
    <t xml:space="preserve">Providing and fixing 125 mm dia  stainless (SS304)  matt finsh steel jali (grating) with or without hole consisting  four piece system with  Cockroach Trap, and frame thickness 1mm &amp; grating thickness 1.5 mm for waste pipe of floor or Nahani trap complete   in all respect as per manufacturers specification and direction of Engineer-in-charge. Make : Nirali/Lipka/ Viking/Roca/Jaquar/Kohler or equivalent. </t>
  </si>
  <si>
    <t>NS_33</t>
  </si>
  <si>
    <t>CPVC Ball Valve 25 mm dia</t>
  </si>
  <si>
    <t>Providing and fixing CPVC Ball Valve 25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</si>
  <si>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NS_34</t>
  </si>
  <si>
    <t>CPVC Ball Valve 32 mm dia</t>
  </si>
  <si>
    <t>Providing and fixing CPVC Ball Valve 32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</si>
  <si>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NS_35</t>
  </si>
  <si>
    <t>CPVC Ball Valve 40 mm dia</t>
  </si>
  <si>
    <t>Providing and fixing CPVC Ball Valve 40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</si>
  <si>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NS_36</t>
  </si>
  <si>
    <t>CPVC Ball Valve 50 mm dia</t>
  </si>
  <si>
    <t>Providing and fixing CPVC Ball Valve 50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</si>
  <si>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TOTAL FOR NON-SCHEDULE ITEMS: CIVIL-FOR COMMUNITY CENTER</t>
  </si>
  <si>
    <t>NON-SCHEDULE ITEMS: CIVIL-FOR FIELD HOSTEL</t>
  </si>
  <si>
    <t>Exterior texture paint like Precast concrete pattern</t>
  </si>
  <si>
    <t>Providing  and  applying  Texture  paint (in concrete texture )  with  finishing  with,primer,  texture  material , exterior colour paint of  approved make  in 3 to 4 millimeter  thickness on plastered surface, including Tape  Grooves  10-12 mm thickness  or  as  required or as per direction engineer in charge,  in  all  position including preparing the surface, scaffolding at any height etc. complete. the following steps to be carried out.
1) Prepairing and cleaning of the plastered surface.
2) Apply exterior water based cement primer on plastered suface (Make asian paint or equivalent).
3) Apply textural materials by trowel 1st coat (make asian paint archi concrete texture or equivalent).
4) after drying of 1st coat making groove by tape 12 mm  width and hole like precast concrete pattern of size as per drawings/manufacturere drawings and as per direction of engineer in charge.
5) Apply Texture materials (make Asian paint archi concrete or equivalent) 2nd coat and making texture like precast concrete pattern.
6) Apply protective coat on texture 1st coat of make asian paint royal play protective coat or equivalent.
7) Apply tinted protective coat make asian paint royal play or equivalent with the help of sponge and roller to give desired texture.
8) after drying remove all the tapes carefully and make sure the texture doest peel off.
9) apply dark colour in grooves and holes carefully and make sure groove paint will not  effect the texture.</t>
  </si>
  <si>
    <t>Polycarbonated Sheet for Pergolas and Porch Dome</t>
  </si>
  <si>
    <t>Sunken filling with 40 mm dia pipe spout</t>
  </si>
  <si>
    <t>Providing and placing  cinder/brick bat or any light weight water absorbing materials  filling  to the sunk floors in toilets/kitchen sunks, well compacted carefully by hand beating to required slopes including consolidation,making hole or core to the beam/wall for providing 40mm dia PVC drain (spout pipe) pipe of required length, pipe should be fixed properly to the beam or wall with water proofing compound with cover the inlet pipe mouth with SS jali and packing with 40/20/10 mm stone aggregate with sufficent quantity. For toilet and Kitchen sunkun portions.</t>
  </si>
  <si>
    <t>Vetrifeid wall tiles size 600X600 antiskid</t>
  </si>
  <si>
    <t>Providing, fixing, testing and commissioning uPVC SWR self cleaning Nahani trap, plain floor trap/ Multi floor trap etc. of 110 mm dia inlet and 75 mm outlet nominal dia. including fixing PVC reducer of 110mm dia. to 75 mm dia. and jointing with adhessive solvent cement including cost of cutting and making good the walls and floors at all levels etc. complete.
make:-supreme/finolex/prince or equivalent.</t>
  </si>
  <si>
    <t>wall Mixer for normal Toilets</t>
  </si>
  <si>
    <t xml:space="preserve">Providing &amp; Fixing CP Brass Wall mixture of Jaguar Model No. 5281 or equivalent models from other specified brands with standard length bend for overhead shower.
</t>
  </si>
  <si>
    <t>Soap Dish for normal Toilets</t>
  </si>
  <si>
    <t>Providing and fixing C.P. brass Soap dish Jaguar Model 1131N or equivalent of approved brands including required screws, rawl plugs etc. complete.</t>
  </si>
  <si>
    <t>Towel Rail for normal toilets</t>
  </si>
  <si>
    <t>P&amp;F CP towel rail 600mm long, 20mm dia of Jaguar Model 1111NN or equivalent of other approved brands</t>
  </si>
  <si>
    <t>Kitchen Sink tape</t>
  </si>
  <si>
    <t>P&amp;F CP Brass wall mounted two in one Sink cock with regular swinging spout &amp; operating knob on right hand side with wall flanges. 15mm Nominal Bore. The Jaguar Make model No. SOL-CHR-6347NSE / Parryware model No. T4635A or equivalent from other specified brands.</t>
  </si>
  <si>
    <t>Parking Tiles</t>
  </si>
  <si>
    <t>Providing and laying parking tiles  of minimum 25m thickness over cement mortar bas  1:4 (1 cement : 4 Coarse sand).  The tiles shall be of reputed brand like Eurocon or equivalent and having minimum compressive strength of 30 N/Sqmm.</t>
  </si>
  <si>
    <t>Shower Basket small</t>
  </si>
  <si>
    <t>Providing and fixing   premium quality  CP Brass shower basket small chrome finish of standard shape as approved quality and colour complete in all respect as per manufacturers specification and direction of Engineer-in-charge. Make : Jaquar model :ACN-CHR-1177N or equivalant.</t>
  </si>
  <si>
    <t>Providing and fixing premium quality  CP Brass concelead stop coack chrome finish with fitting sleeve, operating lever &amp; adjustable wall flange with seal with Concealed Body of Flush Cock Suitable for 25mm Pipe Line with Protection Cap of standard shape as approved quality with all fittings and fixtures complete including cutting and making good the walls  complete to  in all respect as per manufacturers specification and direction of Engineer-in-charge. Make : Jaquar model :FUS-CHR-29083K + ALD-081 or equivalant.</t>
  </si>
  <si>
    <t>SS jali for nahani for toilet with cockrage trap</t>
  </si>
  <si>
    <t>TOTAL FOR NON-SCHEDULE ITEMS: CIVIL-FOR FIELD HOSTEL</t>
  </si>
  <si>
    <t>B</t>
  </si>
  <si>
    <t>NON-SCHEDULE ITEMS:ELECTRICAL FOR COMMUNITY CENTER</t>
  </si>
  <si>
    <t>10W 2 feet Bollard Light</t>
  </si>
  <si>
    <t>Supply, installation, connection, testing and commissioning of 10W 2 FEET BOLLARD LIGHT fitting  ( Similar to Wipro Fantasy Bollard LED LB14)</t>
  </si>
  <si>
    <t>7W to 9W LED above mirror Light</t>
  </si>
  <si>
    <t>Supplying and erecting LED mirror light with integrated driver including 7W to 9W lamp with polycarbonate housing and opal diffuser to be fixed above mirror or as required on clamps complete   .( Similar to Murphy 6W 3-IN-1 Rose Gold Finish Mirror Light)</t>
  </si>
  <si>
    <t>10W LED Decorative light</t>
  </si>
  <si>
    <t>Supplying and erecting 10W LED decorative spike light Fitting ( Similar toPhilips Garden Spike 919215851215)</t>
  </si>
  <si>
    <t>15w Down light</t>
  </si>
  <si>
    <t>Supply, installation, connection, testing and commissioning of LED square / circular 15W down lighter having pressure die-cast aluminium housing, opal translucent cover, mounting arrangement with board for surface type or spring loaded mounting clips for flush type complete.  ( Similar to Murphy MLDL-CBLS-15CW-1)</t>
  </si>
  <si>
    <t>Ceiling Fan</t>
  </si>
  <si>
    <t>Supply, installation, connection, testing and commissioning of Five Star Rated Energy Saving Ceiling Fan (4'/1200 mm dia) along with necessary hardware &amp; accessories, etc. ( Similar to Havells Aspire FSCAPSTMSB48)</t>
  </si>
  <si>
    <t>LED Strip Light 5W/M</t>
  </si>
  <si>
    <t>Supply, installation, connection, testing and commissioning of LED strip light 5W/m for surface type or flush type. ( Similar to Murphy LED ROPE LIGHT 120 LED Warm White)</t>
  </si>
  <si>
    <t>5W Down Light</t>
  </si>
  <si>
    <t>Supply, installation, connection, testing and commissioning of LED circular 5W down lighter having pressure die-cast aluminium housing, mounting arrangement with board for surface type or spring loaded mounting clips for flush type complete. ( Similar to Murphy MLAC-COB-CRYSTAL-BL-ROSE-GOLD-6W-WW-01)</t>
  </si>
  <si>
    <t>5W outdoor LED Decorative light</t>
  </si>
  <si>
    <t>Supplying and erecting decorative Outdoor Wall Mount 5W LED luminaire Fitting</t>
  </si>
  <si>
    <t>Exaust Fan Heavy duty 250V</t>
  </si>
  <si>
    <t>Supply, installation, connection, testing and commissioning of Exhaust fan of light duty250 V A.C. 50 cycles 225mm. 1400 RPM rust proof body &amp; blades, wiremesh, duly erected in an approved manner and marking .( Similar to Havells Ventil Air DX 250mm)</t>
  </si>
  <si>
    <t>180W heavy duty Fan</t>
  </si>
  <si>
    <t>Supply, installation, connection, testing and commissioning of 180W heavy duty fan of 250 V A.C. 50 cycles 600mm. Metal blade rust proof body &amp; blades, duly erected in an approved manner and marking .( Similar to Almonard 180 W Fan)</t>
  </si>
  <si>
    <t>300W LED Flood light</t>
  </si>
  <si>
    <t>Supply, installation, connection, testing and commissioning of 300W LED circular flood light having pressure die-cast aluminium housing, mounting arrangement with board for surface type installation ( Similar to Syska Led Flood Light BLE Model 300W)</t>
  </si>
  <si>
    <t>T8 LED Tube Light</t>
  </si>
  <si>
    <t>Supply, installation, connection, testing and commissioning of T8 LED 20W  4 feet tube light fitting with aluminium housing, heat sink, integrated HF electronic driver complete (THD&lt;15%)( including lamp). ( Similar to Philips Slimline Super Bright LED Tube Light 919415920162)</t>
  </si>
  <si>
    <t>XLPE , FRLS, 3½  C x  95 sq.mm aluminium Conductor</t>
  </si>
  <si>
    <t>Supply, laying and testing of 1.1 kV grade, XLPE , FRLS, 3½  C x  95 sq.mm aluminium conductor armoud cable with continuous 5.48 sq mm (12 SWG) G.I. earth wire on already installed cable trays or drawn in pipes , with neccessory hardwares etc.  .</t>
  </si>
  <si>
    <t xml:space="preserve"> XLPE , FRLS, 4  C x  16 sq.mm copper conductor</t>
  </si>
  <si>
    <t>Supply, laying and testing of 1.1 kV grade, XLPE , FRLS, 4  C x  16 sq.mm copper conductor armoud cable with continuous 5.48 sq mm (12 SWG) G.I. earth wire on already installed cable trays or drawn in pipes , with neccessory hardwares etc.  .</t>
  </si>
  <si>
    <t xml:space="preserve"> XLPE , FRLS, 3  C x  10 sq.mm copper conductor</t>
  </si>
  <si>
    <t>Supply, laying and testing of 1.1 kV grade, XLPE , FRLS, 3  C x  10 sq.mm copper conductor armoud cable with continuous 5.48 sq mm (12 SWG) G.I. earth wire on already installed cable trays or drawn in pipes , with neccessory hardwares etc.  .</t>
  </si>
  <si>
    <t>XLPE , FRLS, 3  C x  2.5 sq.mm copper conductor</t>
  </si>
  <si>
    <t>Supply, laying and testing of 1.1 kV grade, XLPE , FRLS, 3  C x  2.5 sq.mm copper conductor armoud cable with continuous 5.48 sq mm (12 SWG) G.I. earth wire on already installed cable trays or drawn in pipes , with neccessory hardwares etc.  .</t>
  </si>
  <si>
    <t>LA Spike</t>
  </si>
  <si>
    <t>Supplying &amp; erecting conventional spike type air termination suitable to carry lightning stroke made up of heavy gauge 40 mm dia copper pipe of standard length with 5 Nos. copper spikes fixed on copper ball as air terminals duly threaded in copper pipe erected on provided foundation in an approved manner,and accessories required to complete   .</t>
  </si>
  <si>
    <t>Earth Pit</t>
  </si>
  <si>
    <t>Supply, Installation, Testing and commissioning of UL Certified / CPRI Tested Maintenance Free GI Earth Pit With 76 mm pipe in pipe technology 3 mtr long + BFC 25KG fill up the excavated earth with required quantity having 300X300mm brick masonary chamber with MS coverplate for inspection.(Civil work paid sepeartely)</t>
  </si>
  <si>
    <t>25 x 6 mm GI strip earth strip</t>
  </si>
  <si>
    <t xml:space="preserve"> Supply, Installation, Testing and commissioning of 25 x 6 mm GI strip earth strip on wall, underground with nut, bolt, clamp etc with neccessory fixing arrangement   .</t>
  </si>
  <si>
    <t xml:space="preserve">32x 6 mm GI strips earth strip </t>
  </si>
  <si>
    <t xml:space="preserve"> Supply, Installation, Testing and commissioning of 32x 6 mm GI strips earth strip on wall, underground with nut, bolt, clamp etc with neccessory fixing arrangement   .</t>
  </si>
  <si>
    <t>AC 1.5 T</t>
  </si>
  <si>
    <t>Supplying, installing, testing and commissioning split type variable speed Inverter technology room Air conditioning unit 1.5 TR capacity having ISEER minimum 4.50 suitable to operate on250V, 50 cycles, A.C. supply having 1 no of air handling unit hiwall / floor mounting type complete with refrigerant R410 A/R32 and copper condensor at position. as per technical specifications and directions of PMC/IOCL.</t>
  </si>
  <si>
    <t>POWER Pannel</t>
  </si>
  <si>
    <t>Supplying, installing, testing and commissioning of Main Power Panel as per SLD</t>
  </si>
  <si>
    <t>TOTAL FOR NON-SCHEDULE ITEMS: Electrical FOR COMMUNITY CENTER</t>
  </si>
  <si>
    <t>NON-SCHEDULE ITEMS:ELECTRICAL FOR FIELD HOSTEL</t>
  </si>
  <si>
    <t>6W Bulkhead Reading light</t>
  </si>
  <si>
    <t xml:space="preserve">Supply, installation, connection, testing and commissioning of Bulkhead Reading Light fitting suitable for upto LED upto 6W fixed on wall.( Similar to Philips1H BW02) </t>
  </si>
  <si>
    <t>7W to 9W LED above Mirror light</t>
  </si>
  <si>
    <t>5W LED Decorative wall mount light</t>
  </si>
  <si>
    <t>Supplying and erecting decorative indoor Wall Mount 5W LED luminaire Fitting ( Similar to Murphy MLDL-COB-CURVED-2WAY-WW-01)</t>
  </si>
  <si>
    <t>15W LED Down Light</t>
  </si>
  <si>
    <t>LED Strip Light 5W/m</t>
  </si>
  <si>
    <t>60W LED Outdoor light</t>
  </si>
  <si>
    <t>Supply, installation, connection, testing and commissioning of 60W LED Outdoor Compound  Wall Light.Outdoor Compound ( Similar to Inventaa Bloom LED Gate Light Warm White)</t>
  </si>
  <si>
    <t>5W LED outdoor Light</t>
  </si>
  <si>
    <t>Supplying and erecting decorative Outdoor Wall Mount 5W LED luminaire Fitting ( Similar to Murphy MLDL-COB-CURVED-4WAY-WW-01)</t>
  </si>
  <si>
    <t>Exaust Fan Light duty 250V</t>
  </si>
  <si>
    <t>Supply, installation, connection, testing and commissioning of Exhaust fan of heavy duty250 V A.C. 50 cycles 450mm. 1400 RPM rust proof body &amp; blades, wiremesh, duly erected in an approved manner and marking. ( Similar to Havells Turboforce 450mm)</t>
  </si>
  <si>
    <t>Call bell</t>
  </si>
  <si>
    <t xml:space="preserve">Supply, installation, connection, testing and commissioning of Ding Dong / electronic musical type call bell with heavy duty coil suitable to operate on 230V A.C. supply erected on polished double wooden block/sunmica block of suitable size. ( Similar to Panasonic Penta Ding Dong Door Bell) </t>
  </si>
  <si>
    <t>Telephone cable 0.9/0.6 Sq.mm</t>
  </si>
  <si>
    <t>Supplying &amp; erecting 10 pairs x 0.5 mm dia PVC insulated armoured telephone cable 0.9/0.6 sq.mm  PVC Sheathed solid tinned copper conductor cable laid in provided trench/ cable tray   .</t>
  </si>
  <si>
    <t>20Pair Telephone Box</t>
  </si>
  <si>
    <t>Supply, installation, testing and commissioning of indoor type 20 Pair telephone distribution box with suitable S.S. frame for mounting tag module, Krone module and incorporated in 16 SWG MS box with proper lockable cover. The box should be fixed on wall with suitable fasteners including painting &amp; earthing. This also includes fixing the cable, distribution chart sufficient space for the cables, wires etc.  .</t>
  </si>
  <si>
    <t>32 Extensions</t>
  </si>
  <si>
    <t>Supplying and installing, testing &amp; commissioning of 32 extensions complete.( Similar to  EPABX CCL 232 Epabx)</t>
  </si>
  <si>
    <t>Push button telephone with caller ID</t>
  </si>
  <si>
    <t>Supplying, installing, testing &amp; commissioning approved type Push button telephone instrument desk top/wall mount with caller ID unit of approved make   . ( Similar to Beetel M59)</t>
  </si>
  <si>
    <t>Push button telephone</t>
  </si>
  <si>
    <t>Supplying, installing, testing &amp; commissioning approved type Push button telephone instrument desk top/wall mount unit of approved make   .( Similar to Beetel B17)</t>
  </si>
  <si>
    <t>12U wall mounted network rack</t>
  </si>
  <si>
    <t>Supply &amp; installation of 12U wall mounted network rack alongwith all necessary hardware &amp; accessories, etc.complete as required   .</t>
  </si>
  <si>
    <t>24 port Gigabit L2 switch</t>
  </si>
  <si>
    <t>Supplying and fixing 24-port Pure-Gigabit L2 Managed Switch, 12 Gigabit SFP slots, 4 Combo Gigabit LAN ports in provided U Rack complete.  ( Similar to TP-LINK TL-SG5412F)</t>
  </si>
  <si>
    <t>TV cable RG-11</t>
  </si>
  <si>
    <t>Supplying and drawing co-axial TV cable RG-11 grade,  solid copper conductor PE insulated, shielded with fine tinned copper braid and protected with PVC sheath in the existing surface/ recessed steel/ PVC conduit   .</t>
  </si>
  <si>
    <t>4-way Splitter box for TV</t>
  </si>
  <si>
    <t>Supply &amp; installation of 4-way Splitter box for TV cable termination including all necessary hardware, accessories, etc.  .</t>
  </si>
  <si>
    <t>T8 LED 20W  4 feet tube ligh</t>
  </si>
  <si>
    <t xml:space="preserve"> FRLS, 3½  C x  70 sq.mm</t>
  </si>
  <si>
    <t>Supply, laying and testing of 1.1 kV grade, XLPE , FRLS, 3½  C x  70 sq.mm aluminium conductor armoud cable with continuous 5.48 sq mm (12 SWG) G.I. earth wire on already installed cable trays or drawn in pipes , with neccessory hardwares etc.  .</t>
  </si>
  <si>
    <t>EARTH PIT</t>
  </si>
  <si>
    <t>Supply, Installation, Testing and commissioning of UL Certified / CPRI Tested Maintenance Free GI Earth Pit With 76 mm pipe in pipe technology 3 mtr long + BFC 25KG fill up the excavated earth with required quantity having 300X300mm brick masonary chamber with MS coverplate for inspection. (Civil Work paid seperately)</t>
  </si>
  <si>
    <t>25 x 6 mm GI strip earth</t>
  </si>
  <si>
    <t>32x 6 mm GI strips earth</t>
  </si>
  <si>
    <t>AC 2TR</t>
  </si>
  <si>
    <t xml:space="preserve">Supplying, installing, testing and commissioning split type variable speed inverter technology room Air conditioning unit 2 TR capacity having ISEER minimum 4.50 suitable to operate on 250V, 50 cycles, A.C. supply having 1 no. of air handling unit hi-wall/ floor mounting type complete with Refrigerants R410 A /R32 and copper condenser at position. as per technical specifications </t>
  </si>
  <si>
    <t>Set</t>
  </si>
  <si>
    <t>AC 1.5TR</t>
  </si>
  <si>
    <t>Supplying, installing, testing and commissioning split type variable speed Inverter technology room Air conditioning unit 1.5 TR capacity having ISEER minimum 4.50 suitable to operate on250V, 50 cycles, A.C. supply having 1 no of air handling unit hiwall / floor mounting type complete with refrigerant R410 A/R32 and copper condensor at position. as per technical specifications</t>
  </si>
  <si>
    <t>6W LED Study Table Lamp</t>
  </si>
  <si>
    <t>Supply, installation, connection, testing and commissioning of 6W LED Study Table Lamp suitable for Table standing. ( Similar to Philips Orbit Desk Light 919215850922)</t>
  </si>
  <si>
    <t>Gyser 10L capacity</t>
  </si>
  <si>
    <t>Supply, installation, connection, testing and commissioning of Storage Water Heater 10L - Free Standard Installation &amp; Pipes, 5 Star Rated, ABS Body Vertical Geyser ( Similar toRacold BUONO PRO 10L)</t>
  </si>
  <si>
    <t>TOTAL FOR NON-SCHEDULE ITEMS: Electrical FOR FIELD HOSTEL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</si>
  <si>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</si>
  <si>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</si>
  <si>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</si>
  <si>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</si>
  <si>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</si>
  <si>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</si>
  <si>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</si>
  <si>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</si>
  <si>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</si>
  <si>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</si>
  <si>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</si>
  <si>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</si>
  <si>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</si>
  <si>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</si>
  <si>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</si>
  <si>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</si>
  <si>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</si>
  <si>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</si>
  <si>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</si>
  <si>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</si>
  <si>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</si>
  <si>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</si>
  <si>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</si>
  <si>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</si>
  <si>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</si>
  <si>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</si>
  <si>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</si>
  <si>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</si>
  <si>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</si>
  <si>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</si>
  <si>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</si>
  <si>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</si>
  <si>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</si>
  <si>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</si>
  <si>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</si>
  <si>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</si>
  <si>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</si>
  <si>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</si>
  <si>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</si>
  <si>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</si>
  <si>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</si>
  <si>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</si>
  <si>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</si>
  <si>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</si>
  <si>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</si>
  <si>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</si>
  <si>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</si>
  <si>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</si>
  <si>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</si>
  <si>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</si>
  <si>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</si>
  <si>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</si>
  <si>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</si>
  <si>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</si>
  <si>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</si>
  <si>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</si>
  <si>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</si>
  <si>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Specification No: Ref: SR-I/C&amp;M/WC-3810/2024/RFx-5002003836(SR1/NT/S-MISC/DOM/B00/24/11240) (Pkg-B)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</si>
</sst>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 numFmtId="177" formatCode="yyyy/mm/dd;@"/>
    <numFmt numFmtId="178" formatCode="0.00_)"/>
    <numFmt numFmtId="179" formatCode="0_)"/>
  </numFmts>
  <fonts count="68">
    <font>
      <sz val="10"/>
      <name val="Book Antiqua"/>
    </font>
    <font>
      <sz val="11"/>
      <color theme="1"/>
      <name val="Calibri"/>
      <family val="2"/>
      <scheme val="minor"/>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20"/>
      <name val="Book Antiqua"/>
      <family val="1"/>
    </font>
    <font>
      <b/>
      <sz val="18"/>
      <name val="Book Antiqua"/>
      <family val="1"/>
    </font>
    <font>
      <b/>
      <sz val="16"/>
      <color theme="1"/>
      <name val="Book Antiqua"/>
      <family val="1"/>
    </font>
    <font>
      <b/>
      <sz val="11"/>
      <color theme="1"/>
      <name val="Book Antiqua"/>
      <family val="1"/>
    </font>
    <font>
      <sz val="12"/>
      <color theme="1"/>
      <name val="Arial"/>
      <family val="2"/>
    </font>
    <font>
      <b/>
      <sz val="14"/>
      <name val="Arial"/>
      <family val="2"/>
    </font>
    <font>
      <sz val="12"/>
      <color rgb="FF0000FF"/>
      <name val="Book Antiqua"/>
      <family val="1"/>
    </font>
    <font>
      <sz val="12"/>
      <name val="Calibri"/>
      <family val="2"/>
      <scheme val="minor"/>
    </font>
    <font>
      <b/>
      <sz val="12"/>
      <name val="Calibri"/>
      <family val="2"/>
      <scheme val="minor"/>
    </font>
    <font>
      <sz val="8"/>
      <name val="Book Antiqua"/>
    </font>
    <font>
      <b/>
      <sz val="12"/>
      <color rgb="FF333333"/>
      <name val="Arial Narrow"/>
      <family val="2"/>
    </font>
    <font>
      <b/>
      <sz val="12"/>
      <color rgb="FF333333"/>
      <name val="Calibri"/>
      <family val="2"/>
      <scheme val="minor"/>
    </font>
    <font>
      <sz val="12"/>
      <color rgb="FF333333"/>
      <name val="Calibri"/>
      <family val="2"/>
      <scheme val="minor"/>
    </font>
    <font>
      <sz val="12"/>
      <color rgb="FF000000"/>
      <name val="Book Antiqua"/>
      <family val="1"/>
    </font>
  </fonts>
  <fills count="12">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
      <patternFill patternType="solid">
        <fgColor rgb="FF92D050"/>
        <bgColor indexed="64"/>
      </patternFill>
    </fill>
  </fills>
  <borders count="5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right style="thin">
        <color rgb="FF000000"/>
      </right>
      <top style="thin">
        <color rgb="FF000000"/>
      </top>
      <bottom/>
      <diagonal/>
    </border>
  </borders>
  <cellStyleXfs count="64">
    <xf numFmtId="0" fontId="0" fillId="0" borderId="0"/>
    <xf numFmtId="9" fontId="11" fillId="0" borderId="0"/>
    <xf numFmtId="165" fontId="12"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13" fillId="0" borderId="0"/>
    <xf numFmtId="164" fontId="4" fillId="0" borderId="0" applyFont="0" applyFill="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30" fillId="0" borderId="0" applyFont="0" applyFill="0" applyBorder="0" applyAlignment="0" applyProtection="0"/>
    <xf numFmtId="164" fontId="12" fillId="0" borderId="0" applyFont="0" applyFill="0" applyBorder="0" applyAlignment="0" applyProtection="0"/>
    <xf numFmtId="170" fontId="14" fillId="0" borderId="1">
      <alignment horizontal="right"/>
    </xf>
    <xf numFmtId="0" fontId="7" fillId="0" borderId="2" applyNumberFormat="0" applyAlignment="0" applyProtection="0">
      <alignment horizontal="left" vertical="center"/>
    </xf>
    <xf numFmtId="0" fontId="7" fillId="0" borderId="3">
      <alignment horizontal="left" vertical="center"/>
    </xf>
    <xf numFmtId="0" fontId="15" fillId="0" borderId="0" applyNumberFormat="0" applyFill="0" applyBorder="0" applyAlignment="0" applyProtection="0">
      <alignment vertical="top"/>
      <protection locked="0"/>
    </xf>
    <xf numFmtId="37" fontId="16" fillId="0" borderId="0"/>
    <xf numFmtId="171" fontId="12" fillId="0" borderId="0"/>
    <xf numFmtId="0" fontId="12" fillId="0" borderId="0"/>
    <xf numFmtId="0" fontId="20" fillId="0" borderId="0"/>
    <xf numFmtId="0" fontId="12" fillId="0" borderId="0"/>
    <xf numFmtId="0" fontId="12" fillId="0" borderId="0"/>
    <xf numFmtId="0" fontId="30" fillId="0" borderId="0"/>
    <xf numFmtId="0" fontId="9" fillId="0" borderId="0"/>
    <xf numFmtId="0" fontId="12" fillId="0" borderId="0"/>
    <xf numFmtId="0" fontId="12" fillId="0" borderId="0"/>
    <xf numFmtId="0" fontId="29" fillId="0" borderId="0"/>
    <xf numFmtId="0" fontId="9" fillId="0" borderId="0"/>
    <xf numFmtId="0" fontId="12" fillId="0" borderId="0"/>
    <xf numFmtId="0" fontId="20" fillId="0" borderId="0"/>
    <xf numFmtId="0" fontId="9" fillId="0" borderId="0"/>
    <xf numFmtId="0" fontId="20" fillId="0" borderId="0"/>
    <xf numFmtId="0" fontId="30" fillId="0" borderId="0"/>
    <xf numFmtId="0" fontId="12" fillId="0" borderId="0"/>
    <xf numFmtId="0" fontId="9" fillId="0" borderId="0"/>
    <xf numFmtId="0" fontId="9" fillId="0" borderId="0"/>
    <xf numFmtId="0" fontId="30" fillId="0" borderId="0"/>
    <xf numFmtId="0" fontId="30" fillId="0" borderId="0"/>
    <xf numFmtId="9" fontId="12" fillId="0" borderId="0" applyFont="0" applyFill="0" applyBorder="0" applyAlignment="0" applyProtection="0"/>
    <xf numFmtId="0" fontId="17" fillId="0" borderId="0" applyFont="0"/>
    <xf numFmtId="0" fontId="18" fillId="0" borderId="0" applyNumberFormat="0" applyFill="0" applyBorder="0" applyAlignment="0" applyProtection="0">
      <alignment vertical="top"/>
      <protection locked="0"/>
    </xf>
    <xf numFmtId="0" fontId="19" fillId="0" borderId="0"/>
    <xf numFmtId="0" fontId="12" fillId="0" borderId="0">
      <alignment wrapText="1"/>
    </xf>
    <xf numFmtId="0" fontId="3" fillId="0" borderId="0"/>
    <xf numFmtId="0" fontId="2" fillId="0" borderId="0"/>
    <xf numFmtId="0" fontId="2" fillId="0" borderId="0"/>
    <xf numFmtId="0" fontId="29" fillId="0" borderId="0"/>
    <xf numFmtId="0" fontId="12"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cellStyleXfs>
  <cellXfs count="456">
    <xf numFmtId="0" fontId="0" fillId="0" borderId="0" xfId="0"/>
    <xf numFmtId="0" fontId="20" fillId="0" borderId="0" xfId="25" applyAlignment="1" applyProtection="1">
      <alignment vertical="top"/>
      <protection hidden="1"/>
    </xf>
    <xf numFmtId="0" fontId="20" fillId="0" borderId="0" xfId="25" applyProtection="1">
      <protection hidden="1"/>
    </xf>
    <xf numFmtId="0" fontId="6" fillId="0" borderId="0" xfId="25" applyFont="1" applyAlignment="1" applyProtection="1">
      <alignment horizontal="justify" vertical="top"/>
      <protection hidden="1"/>
    </xf>
    <xf numFmtId="0" fontId="6" fillId="0" borderId="0" xfId="25" applyFont="1" applyAlignment="1" applyProtection="1">
      <alignment horizontal="justify" vertical="top" wrapText="1"/>
      <protection hidden="1"/>
    </xf>
    <xf numFmtId="0" fontId="6" fillId="0" borderId="0" xfId="25" applyFont="1" applyAlignment="1" applyProtection="1">
      <alignment vertical="top"/>
      <protection hidden="1"/>
    </xf>
    <xf numFmtId="0" fontId="6" fillId="0" borderId="0" xfId="25" applyFont="1" applyAlignment="1" applyProtection="1">
      <alignment horizontal="right" vertical="top"/>
      <protection hidden="1"/>
    </xf>
    <xf numFmtId="0" fontId="22" fillId="0" borderId="0" xfId="25" applyFont="1" applyProtection="1">
      <protection hidden="1"/>
    </xf>
    <xf numFmtId="0" fontId="6" fillId="0" borderId="0" xfId="25" applyFont="1" applyProtection="1">
      <protection hidden="1"/>
    </xf>
    <xf numFmtId="0" fontId="6" fillId="0" borderId="0" xfId="25" applyFont="1" applyAlignment="1" applyProtection="1">
      <alignment horizontal="justify"/>
      <protection hidden="1"/>
    </xf>
    <xf numFmtId="0" fontId="8" fillId="0" borderId="0" xfId="25" applyFont="1" applyAlignment="1" applyProtection="1">
      <alignment horizontal="justify"/>
      <protection hidden="1"/>
    </xf>
    <xf numFmtId="0" fontId="6" fillId="0" borderId="0" xfId="25" quotePrefix="1" applyFont="1" applyAlignment="1" applyProtection="1">
      <alignment vertical="top"/>
      <protection hidden="1"/>
    </xf>
    <xf numFmtId="0" fontId="6" fillId="0" borderId="0" xfId="25" applyFont="1" applyAlignment="1" applyProtection="1">
      <alignment horizontal="center" vertical="center"/>
      <protection hidden="1"/>
    </xf>
    <xf numFmtId="0" fontId="6" fillId="0" borderId="0" xfId="25" applyFont="1" applyAlignment="1" applyProtection="1">
      <alignment horizontal="left"/>
      <protection hidden="1"/>
    </xf>
    <xf numFmtId="0" fontId="6" fillId="0" borderId="0" xfId="25" applyFont="1" applyAlignment="1" applyProtection="1">
      <alignment vertical="top" wrapText="1"/>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vertical="top" wrapText="1"/>
      <protection hidden="1"/>
    </xf>
    <xf numFmtId="15" fontId="6" fillId="0" borderId="0" xfId="25" applyNumberFormat="1" applyFont="1" applyAlignment="1" applyProtection="1">
      <alignment vertical="top"/>
      <protection hidden="1"/>
    </xf>
    <xf numFmtId="0" fontId="6" fillId="0" borderId="4" xfId="25" quotePrefix="1" applyFont="1" applyBorder="1" applyAlignment="1" applyProtection="1">
      <alignment horizontal="center" vertical="top"/>
      <protection hidden="1"/>
    </xf>
    <xf numFmtId="0" fontId="6" fillId="0" borderId="5" xfId="25" quotePrefix="1" applyFont="1" applyBorder="1" applyAlignment="1" applyProtection="1">
      <alignment horizontal="center" vertical="top"/>
      <protection hidden="1"/>
    </xf>
    <xf numFmtId="0" fontId="27" fillId="0" borderId="0" xfId="0" applyFont="1" applyProtection="1">
      <protection hidden="1"/>
    </xf>
    <xf numFmtId="0" fontId="27" fillId="0" borderId="0" xfId="0" applyFont="1" applyAlignment="1" applyProtection="1">
      <alignment vertical="center"/>
      <protection hidden="1"/>
    </xf>
    <xf numFmtId="0" fontId="27" fillId="0" borderId="0" xfId="36" applyFont="1" applyAlignment="1" applyProtection="1">
      <alignment vertical="center"/>
      <protection hidden="1"/>
    </xf>
    <xf numFmtId="0" fontId="27" fillId="0" borderId="0" xfId="40" applyFont="1" applyAlignment="1" applyProtection="1">
      <alignment vertical="center"/>
      <protection hidden="1"/>
    </xf>
    <xf numFmtId="0" fontId="28" fillId="0" borderId="0" xfId="0" applyFont="1" applyAlignment="1" applyProtection="1">
      <alignment vertical="center"/>
      <protection hidden="1"/>
    </xf>
    <xf numFmtId="0" fontId="30" fillId="0" borderId="0" xfId="28" applyProtection="1">
      <protection hidden="1"/>
    </xf>
    <xf numFmtId="0" fontId="30" fillId="0" borderId="6" xfId="28" applyBorder="1" applyProtection="1">
      <protection hidden="1"/>
    </xf>
    <xf numFmtId="0" fontId="30" fillId="0" borderId="7" xfId="28" applyBorder="1" applyProtection="1">
      <protection hidden="1"/>
    </xf>
    <xf numFmtId="0" fontId="30" fillId="0" borderId="8" xfId="28" applyBorder="1" applyProtection="1">
      <protection hidden="1"/>
    </xf>
    <xf numFmtId="0" fontId="30" fillId="0" borderId="9" xfId="28" applyBorder="1" applyProtection="1">
      <protection hidden="1"/>
    </xf>
    <xf numFmtId="0" fontId="30" fillId="0" borderId="10" xfId="28" applyBorder="1" applyProtection="1">
      <protection hidden="1"/>
    </xf>
    <xf numFmtId="0" fontId="31" fillId="0" borderId="0" xfId="28" applyFont="1" applyAlignment="1" applyProtection="1">
      <alignment horizontal="center"/>
      <protection hidden="1"/>
    </xf>
    <xf numFmtId="0" fontId="30" fillId="0" borderId="0" xfId="38" applyAlignment="1" applyProtection="1">
      <alignment vertical="center"/>
      <protection hidden="1"/>
    </xf>
    <xf numFmtId="0" fontId="30" fillId="0" borderId="10" xfId="38" applyBorder="1" applyAlignment="1" applyProtection="1">
      <alignment vertical="center"/>
      <protection hidden="1"/>
    </xf>
    <xf numFmtId="0" fontId="12" fillId="0" borderId="9" xfId="38" applyFont="1" applyBorder="1" applyAlignment="1" applyProtection="1">
      <alignment vertical="center"/>
      <protection hidden="1"/>
    </xf>
    <xf numFmtId="0" fontId="30" fillId="0" borderId="0" xfId="38" applyProtection="1">
      <protection hidden="1"/>
    </xf>
    <xf numFmtId="0" fontId="30" fillId="0" borderId="10" xfId="38" applyBorder="1" applyProtection="1">
      <protection hidden="1"/>
    </xf>
    <xf numFmtId="0" fontId="12" fillId="0" borderId="0" xfId="38" applyFont="1" applyAlignment="1" applyProtection="1">
      <alignment vertical="center"/>
      <protection hidden="1"/>
    </xf>
    <xf numFmtId="0" fontId="12" fillId="0" borderId="9" xfId="38" applyFont="1" applyBorder="1" applyAlignment="1" applyProtection="1">
      <alignment horizontal="center" vertical="center"/>
      <protection hidden="1"/>
    </xf>
    <xf numFmtId="0" fontId="12" fillId="0" borderId="10" xfId="38" applyFont="1" applyBorder="1" applyAlignment="1" applyProtection="1">
      <alignment horizontal="left" vertical="center"/>
      <protection hidden="1"/>
    </xf>
    <xf numFmtId="0" fontId="30" fillId="0" borderId="11" xfId="28" applyBorder="1" applyProtection="1">
      <protection hidden="1"/>
    </xf>
    <xf numFmtId="0" fontId="30" fillId="0" borderId="12" xfId="28" applyBorder="1" applyProtection="1">
      <protection hidden="1"/>
    </xf>
    <xf numFmtId="0" fontId="30" fillId="0" borderId="13" xfId="28" applyBorder="1" applyProtection="1">
      <protection hidden="1"/>
    </xf>
    <xf numFmtId="0" fontId="30" fillId="0" borderId="0" xfId="38" applyAlignment="1" applyProtection="1">
      <alignment horizontal="left"/>
      <protection hidden="1"/>
    </xf>
    <xf numFmtId="0" fontId="30" fillId="0" borderId="9" xfId="38" applyBorder="1" applyAlignment="1" applyProtection="1">
      <alignment horizontal="center"/>
      <protection hidden="1"/>
    </xf>
    <xf numFmtId="0" fontId="30" fillId="0" borderId="9" xfId="38" applyBorder="1" applyProtection="1">
      <protection hidden="1"/>
    </xf>
    <xf numFmtId="0" fontId="30" fillId="0" borderId="9" xfId="43" applyBorder="1" applyAlignment="1" applyProtection="1">
      <alignment horizontal="center"/>
      <protection hidden="1"/>
    </xf>
    <xf numFmtId="0" fontId="30" fillId="0" borderId="0" xfId="43" applyProtection="1">
      <protection hidden="1"/>
    </xf>
    <xf numFmtId="0" fontId="30" fillId="0" borderId="14" xfId="28" applyBorder="1" applyProtection="1">
      <protection hidden="1"/>
    </xf>
    <xf numFmtId="0" fontId="30" fillId="0" borderId="15" xfId="43" applyBorder="1" applyAlignment="1" applyProtection="1">
      <alignment horizontal="center"/>
      <protection hidden="1"/>
    </xf>
    <xf numFmtId="0" fontId="30" fillId="0" borderId="16" xfId="43" applyBorder="1" applyProtection="1">
      <protection hidden="1"/>
    </xf>
    <xf numFmtId="0" fontId="30" fillId="0" borderId="16" xfId="38" applyBorder="1" applyProtection="1">
      <protection hidden="1"/>
    </xf>
    <xf numFmtId="0" fontId="30" fillId="0" borderId="17" xfId="38" applyBorder="1" applyProtection="1">
      <protection hidden="1"/>
    </xf>
    <xf numFmtId="0" fontId="32" fillId="0" borderId="0" xfId="28" applyFont="1" applyProtection="1">
      <protection hidden="1"/>
    </xf>
    <xf numFmtId="0" fontId="33" fillId="0" borderId="0" xfId="0" applyFont="1" applyAlignment="1" applyProtection="1">
      <alignment vertical="center"/>
      <protection hidden="1"/>
    </xf>
    <xf numFmtId="0" fontId="20" fillId="0" borderId="18" xfId="25" applyBorder="1" applyProtection="1">
      <protection hidden="1"/>
    </xf>
    <xf numFmtId="0" fontId="23" fillId="0" borderId="0" xfId="25" applyFont="1" applyAlignment="1" applyProtection="1">
      <alignment vertical="top"/>
      <protection hidden="1"/>
    </xf>
    <xf numFmtId="0" fontId="23" fillId="0" borderId="0" xfId="25" applyFont="1" applyAlignment="1" applyProtection="1">
      <alignment horizontal="right" vertical="top"/>
      <protection hidden="1"/>
    </xf>
    <xf numFmtId="0" fontId="34" fillId="0" borderId="18" xfId="25" applyFont="1" applyBorder="1" applyProtection="1">
      <protection hidden="1"/>
    </xf>
    <xf numFmtId="0" fontId="8" fillId="0" borderId="18" xfId="25" applyFont="1" applyBorder="1" applyAlignment="1" applyProtection="1">
      <alignment horizontal="center"/>
      <protection hidden="1"/>
    </xf>
    <xf numFmtId="0" fontId="8" fillId="0" borderId="19" xfId="0" applyFont="1" applyBorder="1" applyAlignment="1" applyProtection="1">
      <alignment horizontal="right"/>
      <protection hidden="1"/>
    </xf>
    <xf numFmtId="0" fontId="8" fillId="0" borderId="19" xfId="0" applyFont="1" applyBorder="1" applyAlignment="1" applyProtection="1">
      <alignment vertical="center"/>
      <protection hidden="1"/>
    </xf>
    <xf numFmtId="0" fontId="9" fillId="0" borderId="0" xfId="0" applyFont="1" applyProtection="1">
      <protection hidden="1"/>
    </xf>
    <xf numFmtId="0" fontId="10"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10" fillId="0" borderId="0" xfId="36" applyFont="1" applyAlignment="1" applyProtection="1">
      <alignment horizontal="left" vertical="center" indent="1"/>
      <protection hidden="1"/>
    </xf>
    <xf numFmtId="0" fontId="9" fillId="0" borderId="0" xfId="36" applyAlignment="1" applyProtection="1">
      <alignment horizontal="left" vertical="center" indent="1"/>
      <protection hidden="1"/>
    </xf>
    <xf numFmtId="0" fontId="9"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6" fillId="0" borderId="19" xfId="25" applyFont="1" applyBorder="1" applyProtection="1">
      <protection hidden="1"/>
    </xf>
    <xf numFmtId="0" fontId="6" fillId="0" borderId="19" xfId="25" applyFont="1" applyBorder="1" applyAlignment="1" applyProtection="1">
      <alignment vertical="top"/>
      <protection hidden="1"/>
    </xf>
    <xf numFmtId="0" fontId="10" fillId="0" borderId="0" xfId="0" applyFont="1" applyAlignment="1" applyProtection="1">
      <alignment horizontal="center" vertical="center"/>
      <protection hidden="1"/>
    </xf>
    <xf numFmtId="0" fontId="9" fillId="0" borderId="0" xfId="25" applyFont="1" applyAlignment="1" applyProtection="1">
      <alignment horizontal="justify" vertical="top" wrapText="1"/>
      <protection hidden="1"/>
    </xf>
    <xf numFmtId="0" fontId="6" fillId="0" borderId="19" xfId="0" applyFont="1" applyBorder="1" applyAlignment="1" applyProtection="1">
      <alignment vertical="center"/>
      <protection hidden="1"/>
    </xf>
    <xf numFmtId="0" fontId="6"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40" applyFont="1" applyAlignment="1" applyProtection="1">
      <alignment vertical="center"/>
      <protection hidden="1"/>
    </xf>
    <xf numFmtId="0" fontId="9" fillId="0" borderId="0" xfId="40" applyAlignment="1" applyProtection="1">
      <alignment horizontal="left" vertical="center" indent="1"/>
      <protection hidden="1"/>
    </xf>
    <xf numFmtId="0" fontId="10" fillId="0" borderId="0" xfId="40" applyFont="1" applyAlignment="1" applyProtection="1">
      <alignment vertical="top"/>
      <protection hidden="1"/>
    </xf>
    <xf numFmtId="0" fontId="10" fillId="0" borderId="0" xfId="0" applyFont="1" applyAlignment="1" applyProtection="1">
      <alignment horizontal="justify" vertical="center"/>
      <protection hidden="1"/>
    </xf>
    <xf numFmtId="173" fontId="10" fillId="0" borderId="0" xfId="0" applyNumberFormat="1"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0" xfId="0" applyFont="1" applyAlignment="1" applyProtection="1">
      <alignment horizontal="left" vertical="center" indent="1"/>
      <protection hidden="1"/>
    </xf>
    <xf numFmtId="0" fontId="27" fillId="0" borderId="0" xfId="42" applyFont="1"/>
    <xf numFmtId="0" fontId="9" fillId="0" borderId="0" xfId="37" applyFont="1" applyAlignment="1">
      <alignment horizontal="justify" vertical="center"/>
    </xf>
    <xf numFmtId="0" fontId="9" fillId="0" borderId="0" xfId="37" applyFont="1" applyAlignment="1">
      <alignment vertical="center"/>
    </xf>
    <xf numFmtId="0" fontId="9" fillId="0" borderId="20" xfId="37" applyFont="1" applyBorder="1" applyAlignment="1">
      <alignment vertical="center" wrapText="1"/>
    </xf>
    <xf numFmtId="0" fontId="9" fillId="0" borderId="21" xfId="37" applyFont="1" applyBorder="1" applyAlignment="1">
      <alignment vertical="center" wrapText="1"/>
    </xf>
    <xf numFmtId="0" fontId="9" fillId="0" borderId="22" xfId="37" applyFont="1" applyBorder="1" applyAlignment="1">
      <alignment vertical="center" wrapText="1"/>
    </xf>
    <xf numFmtId="0" fontId="9" fillId="0" borderId="3" xfId="37" applyFont="1" applyBorder="1" applyAlignment="1">
      <alignment vertical="center" wrapText="1"/>
    </xf>
    <xf numFmtId="0" fontId="20" fillId="0" borderId="22" xfId="37" applyBorder="1" applyAlignment="1">
      <alignment horizontal="left" vertical="center" wrapText="1"/>
    </xf>
    <xf numFmtId="0" fontId="9" fillId="0" borderId="3" xfId="37" applyFont="1" applyBorder="1" applyAlignment="1">
      <alignment horizontal="center" vertical="center" wrapText="1"/>
    </xf>
    <xf numFmtId="0" fontId="9" fillId="0" borderId="9" xfId="37" applyFont="1" applyBorder="1" applyAlignment="1">
      <alignment vertical="center" wrapText="1"/>
    </xf>
    <xf numFmtId="0" fontId="9" fillId="0" borderId="0" xfId="37" applyFont="1" applyAlignment="1">
      <alignment vertical="center" wrapText="1"/>
    </xf>
    <xf numFmtId="0" fontId="9" fillId="0" borderId="23" xfId="37" applyFont="1" applyBorder="1" applyAlignment="1">
      <alignment vertical="center"/>
    </xf>
    <xf numFmtId="0" fontId="9" fillId="0" borderId="24" xfId="37" applyFont="1" applyBorder="1" applyAlignment="1">
      <alignment vertical="center"/>
    </xf>
    <xf numFmtId="0" fontId="9" fillId="0" borderId="25" xfId="37" applyFont="1" applyBorder="1" applyAlignment="1">
      <alignment vertical="center"/>
    </xf>
    <xf numFmtId="0" fontId="9" fillId="0" borderId="26" xfId="37" applyFont="1" applyBorder="1" applyAlignment="1">
      <alignment vertical="center"/>
    </xf>
    <xf numFmtId="0" fontId="9" fillId="0" borderId="27" xfId="37" applyFont="1" applyBorder="1" applyAlignment="1">
      <alignment vertical="center"/>
    </xf>
    <xf numFmtId="0" fontId="9" fillId="0" borderId="28" xfId="37" applyFont="1" applyBorder="1" applyAlignment="1">
      <alignment vertical="center"/>
    </xf>
    <xf numFmtId="0" fontId="9" fillId="0" borderId="29" xfId="37" applyFont="1" applyBorder="1" applyAlignment="1">
      <alignment vertical="center"/>
    </xf>
    <xf numFmtId="0" fontId="9" fillId="0" borderId="30" xfId="37" applyFont="1" applyBorder="1" applyAlignment="1">
      <alignment vertical="center"/>
    </xf>
    <xf numFmtId="0" fontId="9" fillId="0" borderId="9" xfId="37" applyFont="1" applyBorder="1" applyAlignment="1">
      <alignment vertical="center"/>
    </xf>
    <xf numFmtId="0" fontId="9" fillId="0" borderId="10" xfId="37" applyFont="1" applyBorder="1" applyAlignment="1">
      <alignment vertical="center" wrapText="1"/>
    </xf>
    <xf numFmtId="0" fontId="9" fillId="0" borderId="22" xfId="37" applyFont="1" applyBorder="1" applyAlignment="1">
      <alignment horizontal="left" vertical="center"/>
    </xf>
    <xf numFmtId="0" fontId="9" fillId="0" borderId="11" xfId="37" applyFont="1" applyBorder="1" applyAlignment="1">
      <alignment horizontal="left" vertical="center"/>
    </xf>
    <xf numFmtId="0" fontId="9" fillId="0" borderId="9" xfId="37" applyFont="1" applyBorder="1" applyAlignment="1">
      <alignment horizontal="left" vertical="center"/>
    </xf>
    <xf numFmtId="0" fontId="9" fillId="0" borderId="0" xfId="37" applyFont="1" applyAlignment="1">
      <alignment horizontal="left" vertical="center"/>
    </xf>
    <xf numFmtId="0" fontId="9" fillId="0" borderId="10" xfId="37" applyFont="1" applyBorder="1" applyAlignment="1">
      <alignment horizontal="left" vertical="center"/>
    </xf>
    <xf numFmtId="0" fontId="9" fillId="0" borderId="31" xfId="37" applyFont="1" applyBorder="1" applyAlignment="1">
      <alignment horizontal="left" vertical="center"/>
    </xf>
    <xf numFmtId="0" fontId="9" fillId="0" borderId="32" xfId="37" applyFont="1" applyBorder="1" applyAlignment="1">
      <alignment horizontal="left" vertical="center"/>
    </xf>
    <xf numFmtId="0" fontId="9" fillId="0" borderId="0" xfId="42" applyFont="1"/>
    <xf numFmtId="0" fontId="10" fillId="2" borderId="33" xfId="37" applyFont="1" applyFill="1" applyBorder="1" applyAlignment="1" applyProtection="1">
      <alignment horizontal="left" vertical="center" wrapText="1"/>
      <protection locked="0"/>
    </xf>
    <xf numFmtId="0" fontId="9" fillId="2" borderId="33" xfId="37" applyFont="1" applyFill="1" applyBorder="1" applyAlignment="1" applyProtection="1">
      <alignment horizontal="left" vertical="center" wrapText="1"/>
      <protection locked="0"/>
    </xf>
    <xf numFmtId="0" fontId="9" fillId="2" borderId="34" xfId="37" applyFont="1" applyFill="1" applyBorder="1" applyAlignment="1" applyProtection="1">
      <alignment horizontal="left" vertical="center" wrapText="1"/>
      <protection locked="0"/>
    </xf>
    <xf numFmtId="0" fontId="9" fillId="2" borderId="33" xfId="37" applyFont="1" applyFill="1" applyBorder="1" applyAlignment="1" applyProtection="1">
      <alignment vertical="center" wrapText="1"/>
      <protection locked="0"/>
    </xf>
    <xf numFmtId="0" fontId="9" fillId="2" borderId="34" xfId="37" applyFont="1" applyFill="1" applyBorder="1" applyAlignment="1" applyProtection="1">
      <alignment vertical="center" wrapText="1"/>
      <protection locked="0"/>
    </xf>
    <xf numFmtId="0" fontId="9" fillId="2" borderId="35" xfId="37" applyFont="1" applyFill="1" applyBorder="1" applyAlignment="1" applyProtection="1">
      <alignment vertical="center" wrapText="1"/>
      <protection locked="0"/>
    </xf>
    <xf numFmtId="0" fontId="37" fillId="0" borderId="36" xfId="37" applyFont="1" applyBorder="1" applyAlignment="1" applyProtection="1">
      <alignment horizontal="left" vertical="center" wrapText="1"/>
      <protection locked="0"/>
    </xf>
    <xf numFmtId="0" fontId="35" fillId="0" borderId="36" xfId="42" applyFont="1" applyBorder="1" applyAlignment="1" applyProtection="1">
      <alignment horizontal="center" vertical="center"/>
      <protection locked="0"/>
    </xf>
    <xf numFmtId="0" fontId="9" fillId="0" borderId="10" xfId="37" applyFont="1" applyBorder="1" applyAlignment="1" applyProtection="1">
      <alignment horizontal="center" vertical="center"/>
      <protection locked="0"/>
    </xf>
    <xf numFmtId="174" fontId="9" fillId="2" borderId="33" xfId="37" applyNumberFormat="1" applyFont="1" applyFill="1" applyBorder="1" applyAlignment="1" applyProtection="1">
      <alignment horizontal="left" vertical="center" wrapText="1"/>
      <protection locked="0"/>
    </xf>
    <xf numFmtId="0" fontId="42" fillId="0" borderId="0" xfId="39" applyFont="1" applyAlignment="1">
      <alignment horizontal="center" vertical="center" wrapText="1"/>
    </xf>
    <xf numFmtId="0" fontId="42" fillId="0" borderId="0" xfId="39" applyFont="1" applyAlignment="1">
      <alignment vertical="center" wrapText="1"/>
    </xf>
    <xf numFmtId="0" fontId="9" fillId="2" borderId="37" xfId="33" applyFill="1" applyBorder="1" applyAlignment="1" applyProtection="1">
      <alignment horizontal="left" vertical="center"/>
      <protection locked="0"/>
    </xf>
    <xf numFmtId="164" fontId="9" fillId="0" borderId="0" xfId="7" applyFont="1" applyBorder="1" applyProtection="1">
      <protection hidden="1"/>
    </xf>
    <xf numFmtId="0" fontId="8" fillId="0" borderId="18" xfId="0" applyFont="1" applyBorder="1" applyAlignment="1">
      <alignment horizontal="center" vertical="center" wrapText="1"/>
    </xf>
    <xf numFmtId="0" fontId="44" fillId="0" borderId="18" xfId="0" applyFont="1" applyBorder="1" applyAlignment="1">
      <alignment horizontal="center" vertical="center" wrapText="1"/>
    </xf>
    <xf numFmtId="0" fontId="45" fillId="5" borderId="0" xfId="0" applyFont="1" applyFill="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horizontal="center" vertical="center"/>
    </xf>
    <xf numFmtId="0" fontId="6" fillId="0" borderId="0" xfId="0" applyFont="1" applyAlignment="1">
      <alignment vertical="top"/>
    </xf>
    <xf numFmtId="0" fontId="43" fillId="0" borderId="0" xfId="0" applyFont="1" applyAlignment="1">
      <alignment horizontal="center" vertical="top"/>
    </xf>
    <xf numFmtId="0" fontId="43" fillId="0" borderId="0" xfId="0" applyFont="1" applyAlignment="1">
      <alignment horizontal="center" vertical="center"/>
    </xf>
    <xf numFmtId="0" fontId="43" fillId="0" borderId="0" xfId="0" applyFont="1" applyAlignment="1">
      <alignment horizontal="center"/>
    </xf>
    <xf numFmtId="0" fontId="43" fillId="0" borderId="0" xfId="0" applyFont="1"/>
    <xf numFmtId="0" fontId="44" fillId="0" borderId="12" xfId="0" applyFont="1" applyBorder="1" applyAlignment="1">
      <alignment horizontal="center" vertical="center" wrapText="1"/>
    </xf>
    <xf numFmtId="0" fontId="6" fillId="0" borderId="18"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1" xfId="0" applyFont="1" applyBorder="1" applyAlignment="1">
      <alignment horizontal="center" vertical="center" wrapText="1"/>
    </xf>
    <xf numFmtId="0" fontId="8" fillId="0" borderId="18" xfId="0" applyFont="1" applyBorder="1" applyAlignment="1">
      <alignment horizontal="center" vertical="center"/>
    </xf>
    <xf numFmtId="0" fontId="8" fillId="0" borderId="18" xfId="0" applyFont="1" applyBorder="1" applyAlignment="1">
      <alignment horizontal="center"/>
    </xf>
    <xf numFmtId="175" fontId="43" fillId="0" borderId="18" xfId="7" applyNumberFormat="1" applyFont="1" applyBorder="1" applyAlignment="1" applyProtection="1">
      <alignment vertical="center"/>
    </xf>
    <xf numFmtId="164" fontId="43" fillId="0" borderId="18" xfId="7" applyFont="1" applyBorder="1" applyAlignment="1" applyProtection="1">
      <alignment vertical="center"/>
    </xf>
    <xf numFmtId="164" fontId="43" fillId="0" borderId="18" xfId="7" applyFont="1" applyBorder="1" applyAlignment="1" applyProtection="1">
      <alignment horizontal="center" vertical="center"/>
    </xf>
    <xf numFmtId="0" fontId="0" fillId="0" borderId="18" xfId="0" applyBorder="1" applyAlignment="1">
      <alignment horizontal="center" vertical="center"/>
    </xf>
    <xf numFmtId="164" fontId="8" fillId="0" borderId="18" xfId="7" applyFont="1" applyBorder="1" applyAlignment="1" applyProtection="1">
      <alignment vertical="center" wrapText="1"/>
    </xf>
    <xf numFmtId="164" fontId="6" fillId="0" borderId="18" xfId="7" applyFont="1" applyBorder="1" applyAlignment="1" applyProtection="1">
      <alignment vertical="center" wrapText="1"/>
    </xf>
    <xf numFmtId="0" fontId="9" fillId="0" borderId="11" xfId="37" quotePrefix="1" applyFont="1" applyBorder="1" applyAlignment="1">
      <alignment horizontal="right" vertical="center"/>
    </xf>
    <xf numFmtId="164" fontId="46" fillId="0" borderId="18" xfId="7" applyFont="1" applyBorder="1" applyAlignment="1" applyProtection="1">
      <alignment horizontal="center" vertical="center"/>
    </xf>
    <xf numFmtId="0" fontId="47" fillId="0" borderId="0" xfId="0" applyFont="1" applyAlignment="1">
      <alignment horizontal="left" vertical="center"/>
    </xf>
    <xf numFmtId="0" fontId="43" fillId="0" borderId="0" xfId="0" applyFont="1" applyAlignment="1">
      <alignment vertical="top"/>
    </xf>
    <xf numFmtId="164" fontId="43" fillId="0" borderId="0" xfId="0" applyNumberFormat="1" applyFont="1"/>
    <xf numFmtId="0" fontId="48" fillId="0" borderId="0" xfId="0" applyFont="1" applyAlignment="1" applyProtection="1">
      <alignment vertical="center"/>
      <protection hidden="1"/>
    </xf>
    <xf numFmtId="0" fontId="0" fillId="0" borderId="0" xfId="0" applyAlignment="1" applyProtection="1">
      <alignment vertical="center"/>
      <protection hidden="1"/>
    </xf>
    <xf numFmtId="0" fontId="47" fillId="0" borderId="0" xfId="0" applyFont="1" applyAlignment="1" applyProtection="1">
      <alignment horizontal="left" vertical="center"/>
      <protection hidden="1"/>
    </xf>
    <xf numFmtId="0" fontId="20" fillId="0" borderId="0" xfId="0" applyFont="1" applyProtection="1">
      <protection hidden="1"/>
    </xf>
    <xf numFmtId="0" fontId="34" fillId="0" borderId="14" xfId="0" applyFont="1" applyBorder="1" applyAlignment="1" applyProtection="1">
      <alignment horizontal="center" vertical="center" wrapText="1"/>
      <protection hidden="1"/>
    </xf>
    <xf numFmtId="164" fontId="34" fillId="0" borderId="14" xfId="7" applyFont="1" applyBorder="1" applyAlignment="1" applyProtection="1">
      <alignment horizontal="center" vertical="center" wrapText="1"/>
      <protection hidden="1"/>
    </xf>
    <xf numFmtId="0" fontId="34" fillId="0" borderId="18" xfId="0" applyFont="1" applyBorder="1" applyAlignment="1" applyProtection="1">
      <alignment horizontal="center" vertical="center"/>
      <protection hidden="1"/>
    </xf>
    <xf numFmtId="164" fontId="34" fillId="0" borderId="18" xfId="7" applyFont="1" applyFill="1" applyBorder="1" applyAlignment="1" applyProtection="1">
      <alignment horizontal="center" vertical="center"/>
      <protection hidden="1"/>
    </xf>
    <xf numFmtId="164" fontId="34" fillId="0" borderId="18" xfId="7" applyFont="1" applyFill="1" applyBorder="1" applyAlignment="1" applyProtection="1">
      <alignment horizontal="center" vertical="center" wrapText="1"/>
      <protection hidden="1"/>
    </xf>
    <xf numFmtId="164" fontId="20" fillId="0" borderId="0" xfId="7" applyFont="1" applyProtection="1">
      <protection hidden="1"/>
    </xf>
    <xf numFmtId="0" fontId="10" fillId="0" borderId="19" xfId="35" applyFont="1" applyBorder="1" applyAlignment="1" applyProtection="1">
      <alignment vertical="center"/>
      <protection hidden="1"/>
    </xf>
    <xf numFmtId="0" fontId="9" fillId="0" borderId="19" xfId="35" applyFont="1" applyBorder="1" applyAlignment="1" applyProtection="1">
      <alignment vertical="center"/>
      <protection hidden="1"/>
    </xf>
    <xf numFmtId="0" fontId="10" fillId="0" borderId="19" xfId="35" applyFont="1" applyBorder="1" applyAlignment="1" applyProtection="1">
      <alignment horizontal="right" vertical="center"/>
      <protection hidden="1"/>
    </xf>
    <xf numFmtId="0" fontId="12" fillId="0" borderId="0" xfId="24" applyProtection="1">
      <protection hidden="1"/>
    </xf>
    <xf numFmtId="0" fontId="9" fillId="0" borderId="0" xfId="35" applyFont="1" applyAlignment="1" applyProtection="1">
      <alignment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left" vertical="center"/>
      <protection hidden="1"/>
    </xf>
    <xf numFmtId="173" fontId="9" fillId="0" borderId="0" xfId="35" applyNumberFormat="1" applyFont="1" applyAlignment="1" applyProtection="1">
      <alignment horizontal="left" vertical="center"/>
      <protection hidden="1"/>
    </xf>
    <xf numFmtId="0" fontId="9" fillId="0" borderId="0" xfId="36" applyAlignment="1" applyProtection="1">
      <alignment horizontal="left" vertical="center"/>
      <protection hidden="1"/>
    </xf>
    <xf numFmtId="0" fontId="10" fillId="0" borderId="0" xfId="36" applyFont="1" applyAlignment="1" applyProtection="1">
      <alignment horizontal="left" vertical="center"/>
      <protection hidden="1"/>
    </xf>
    <xf numFmtId="0" fontId="9" fillId="0" borderId="0" xfId="35" applyFont="1" applyAlignment="1" applyProtection="1">
      <alignment horizontal="justify" vertical="center"/>
      <protection hidden="1"/>
    </xf>
    <xf numFmtId="0" fontId="9" fillId="0" borderId="0" xfId="41" applyAlignment="1" applyProtection="1">
      <alignment horizontal="left" vertical="center"/>
      <protection hidden="1"/>
    </xf>
    <xf numFmtId="0" fontId="9" fillId="0" borderId="0" xfId="35" applyFont="1" applyAlignment="1" applyProtection="1">
      <alignment vertical="top"/>
      <protection hidden="1"/>
    </xf>
    <xf numFmtId="172" fontId="9" fillId="0" borderId="0" xfId="35" applyNumberFormat="1" applyFont="1" applyAlignment="1" applyProtection="1">
      <alignment horizontal="center" vertical="top"/>
      <protection hidden="1"/>
    </xf>
    <xf numFmtId="0" fontId="9" fillId="0" borderId="0" xfId="35" applyFont="1" applyAlignment="1" applyProtection="1">
      <alignment horizontal="justify" vertical="top"/>
      <protection hidden="1"/>
    </xf>
    <xf numFmtId="0" fontId="9" fillId="0" borderId="0" xfId="35" applyFont="1" applyAlignment="1" applyProtection="1">
      <alignment horizontal="justify"/>
      <protection hidden="1"/>
    </xf>
    <xf numFmtId="0" fontId="9" fillId="0" borderId="0" xfId="35" quotePrefix="1" applyFont="1" applyAlignment="1" applyProtection="1">
      <alignment horizontal="justify"/>
      <protection hidden="1"/>
    </xf>
    <xf numFmtId="4" fontId="8" fillId="0" borderId="0" xfId="35" quotePrefix="1" applyNumberFormat="1" applyFont="1" applyAlignment="1" applyProtection="1">
      <alignment vertical="center"/>
      <protection hidden="1"/>
    </xf>
    <xf numFmtId="172" fontId="9" fillId="0" borderId="0" xfId="35" applyNumberFormat="1" applyFont="1" applyAlignment="1" applyProtection="1">
      <alignment horizontal="center" vertical="center"/>
      <protection hidden="1"/>
    </xf>
    <xf numFmtId="0" fontId="9" fillId="0" borderId="0" xfId="35" applyFont="1" applyAlignment="1" applyProtection="1">
      <alignment horizontal="center" vertical="top"/>
      <protection hidden="1"/>
    </xf>
    <xf numFmtId="0" fontId="9" fillId="0" borderId="0" xfId="33" applyAlignment="1" applyProtection="1">
      <alignment vertical="center"/>
      <protection hidden="1"/>
    </xf>
    <xf numFmtId="0" fontId="9" fillId="0" borderId="0" xfId="33" applyAlignment="1" applyProtection="1">
      <alignment horizontal="center" vertical="center" wrapText="1"/>
      <protection hidden="1"/>
    </xf>
    <xf numFmtId="0" fontId="9" fillId="0" borderId="0" xfId="33" applyProtection="1">
      <protection hidden="1"/>
    </xf>
    <xf numFmtId="0" fontId="9" fillId="0" borderId="0" xfId="33" applyAlignment="1" applyProtection="1">
      <alignment horizontal="justify" vertical="center"/>
      <protection hidden="1"/>
    </xf>
    <xf numFmtId="172" fontId="9" fillId="0" borderId="0" xfId="33" applyNumberFormat="1" applyAlignment="1" applyProtection="1">
      <alignment horizontal="center" vertical="center"/>
      <protection hidden="1"/>
    </xf>
    <xf numFmtId="0" fontId="9" fillId="0" borderId="0" xfId="33" applyAlignment="1" applyProtection="1">
      <alignment horizontal="right" vertical="center"/>
      <protection hidden="1"/>
    </xf>
    <xf numFmtId="0" fontId="9" fillId="0" borderId="0" xfId="35" applyFont="1" applyProtection="1">
      <protection hidden="1"/>
    </xf>
    <xf numFmtId="173" fontId="10" fillId="0" borderId="0" xfId="35" applyNumberFormat="1" applyFont="1" applyAlignment="1" applyProtection="1">
      <alignment vertical="center"/>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indent="2"/>
      <protection hidden="1"/>
    </xf>
    <xf numFmtId="0" fontId="10" fillId="0" borderId="0" xfId="35" applyFont="1" applyAlignment="1" applyProtection="1">
      <alignment horizontal="left" vertical="center" indent="1"/>
      <protection hidden="1"/>
    </xf>
    <xf numFmtId="0" fontId="9" fillId="0" borderId="0" xfId="35" applyFont="1" applyAlignment="1" applyProtection="1">
      <alignment horizontal="left" vertical="center" indent="1"/>
      <protection hidden="1"/>
    </xf>
    <xf numFmtId="0" fontId="9" fillId="0" borderId="0" xfId="33" applyAlignment="1" applyProtection="1">
      <alignment horizontal="left" vertical="center" indent="2"/>
      <protection hidden="1"/>
    </xf>
    <xf numFmtId="0" fontId="10" fillId="0" borderId="0" xfId="33" applyFont="1" applyAlignment="1" applyProtection="1">
      <alignment horizontal="left" vertical="center"/>
      <protection hidden="1"/>
    </xf>
    <xf numFmtId="173" fontId="10" fillId="0" borderId="0" xfId="33" applyNumberFormat="1" applyFont="1" applyAlignment="1" applyProtection="1">
      <alignment horizontal="left" vertical="center" indent="1"/>
      <protection hidden="1"/>
    </xf>
    <xf numFmtId="0" fontId="44"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18" xfId="0" applyFont="1" applyBorder="1" applyAlignment="1">
      <alignment horizontal="center" vertical="center"/>
    </xf>
    <xf numFmtId="2" fontId="6" fillId="0" borderId="18" xfId="0" applyNumberFormat="1" applyFont="1" applyBorder="1" applyAlignment="1">
      <alignment horizontal="right" vertical="center"/>
    </xf>
    <xf numFmtId="0" fontId="0" fillId="0" borderId="18" xfId="0" applyBorder="1" applyAlignment="1">
      <alignment vertical="center" wrapText="1"/>
    </xf>
    <xf numFmtId="0" fontId="48" fillId="0" borderId="0" xfId="0" applyFont="1" applyAlignment="1">
      <alignment vertical="center"/>
    </xf>
    <xf numFmtId="0" fontId="0" fillId="0" borderId="0" xfId="0" applyAlignment="1">
      <alignment vertical="center"/>
    </xf>
    <xf numFmtId="1" fontId="0" fillId="0" borderId="0" xfId="0" applyNumberFormat="1"/>
    <xf numFmtId="9" fontId="40" fillId="0" borderId="18" xfId="0" applyNumberFormat="1" applyFont="1" applyBorder="1" applyAlignment="1">
      <alignment horizontal="center" vertical="center" wrapText="1"/>
    </xf>
    <xf numFmtId="0" fontId="31" fillId="8" borderId="18" xfId="0" applyFont="1" applyFill="1" applyBorder="1" applyAlignment="1">
      <alignment horizontal="center" vertical="center" wrapText="1"/>
    </xf>
    <xf numFmtId="0" fontId="53" fillId="8" borderId="18" xfId="48" applyFont="1" applyFill="1" applyBorder="1" applyAlignment="1">
      <alignment horizontal="center" vertical="center" wrapText="1" readingOrder="1"/>
    </xf>
    <xf numFmtId="0" fontId="53" fillId="8" borderId="18" xfId="34" applyFont="1" applyFill="1" applyBorder="1" applyAlignment="1">
      <alignment horizontal="left" vertical="center" readingOrder="1"/>
    </xf>
    <xf numFmtId="0" fontId="43" fillId="8" borderId="18" xfId="0" applyFont="1" applyFill="1" applyBorder="1" applyAlignment="1">
      <alignment horizontal="center"/>
    </xf>
    <xf numFmtId="9" fontId="43" fillId="8" borderId="18" xfId="0" applyNumberFormat="1" applyFont="1" applyFill="1" applyBorder="1" applyAlignment="1">
      <alignment horizontal="center" vertical="top"/>
    </xf>
    <xf numFmtId="0" fontId="43" fillId="8" borderId="18" xfId="0" applyFont="1" applyFill="1" applyBorder="1"/>
    <xf numFmtId="0" fontId="31" fillId="8" borderId="18" xfId="0" applyFont="1" applyFill="1" applyBorder="1" applyAlignment="1">
      <alignment horizontal="center" vertical="top" wrapText="1"/>
    </xf>
    <xf numFmtId="0" fontId="43" fillId="8" borderId="18" xfId="0" applyFont="1" applyFill="1" applyBorder="1" applyAlignment="1">
      <alignment horizontal="center" vertical="top"/>
    </xf>
    <xf numFmtId="2" fontId="43" fillId="8" borderId="18" xfId="0" applyNumberFormat="1" applyFont="1" applyFill="1" applyBorder="1" applyAlignment="1">
      <alignment vertical="top"/>
    </xf>
    <xf numFmtId="10" fontId="43" fillId="8" borderId="18" xfId="0" applyNumberFormat="1" applyFont="1" applyFill="1" applyBorder="1" applyAlignment="1">
      <alignment vertical="top"/>
    </xf>
    <xf numFmtId="10" fontId="55" fillId="0" borderId="18" xfId="0" applyNumberFormat="1" applyFont="1" applyBorder="1" applyAlignment="1">
      <alignment horizontal="center" vertical="center"/>
    </xf>
    <xf numFmtId="164" fontId="46" fillId="7" borderId="18" xfId="7" applyFont="1" applyFill="1" applyBorder="1" applyAlignment="1" applyProtection="1">
      <alignment horizontal="center" vertical="center"/>
    </xf>
    <xf numFmtId="164" fontId="6" fillId="7" borderId="18" xfId="7" applyFont="1" applyFill="1" applyBorder="1" applyProtection="1"/>
    <xf numFmtId="0" fontId="41" fillId="7" borderId="18" xfId="0" applyFont="1" applyFill="1" applyBorder="1" applyAlignment="1">
      <alignment horizontal="center" vertical="center"/>
    </xf>
    <xf numFmtId="0" fontId="6" fillId="7" borderId="4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44" fillId="7" borderId="14" xfId="0" applyFont="1" applyFill="1" applyBorder="1" applyAlignment="1">
      <alignment horizontal="center" vertical="center" wrapText="1"/>
    </xf>
    <xf numFmtId="0" fontId="44" fillId="7" borderId="44"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27" fillId="7" borderId="18" xfId="0" applyFont="1" applyFill="1" applyBorder="1" applyAlignment="1">
      <alignment vertical="center" wrapText="1"/>
    </xf>
    <xf numFmtId="0" fontId="6" fillId="7" borderId="14" xfId="0" applyFont="1" applyFill="1" applyBorder="1" applyAlignment="1">
      <alignment horizontal="center" vertical="center"/>
    </xf>
    <xf numFmtId="0" fontId="6" fillId="7" borderId="18" xfId="0" applyFont="1" applyFill="1" applyBorder="1" applyAlignment="1">
      <alignment horizontal="center" vertical="center"/>
    </xf>
    <xf numFmtId="0" fontId="7" fillId="7" borderId="18" xfId="0" applyFont="1" applyFill="1" applyBorder="1" applyAlignment="1">
      <alignment horizontal="justify" vertical="center" wrapText="1"/>
    </xf>
    <xf numFmtId="0" fontId="6" fillId="7" borderId="18" xfId="0" applyFont="1" applyFill="1" applyBorder="1" applyAlignment="1">
      <alignment vertical="center"/>
    </xf>
    <xf numFmtId="164" fontId="8" fillId="7" borderId="18" xfId="7" applyFont="1" applyFill="1" applyBorder="1" applyAlignment="1" applyProtection="1">
      <alignment vertical="center"/>
    </xf>
    <xf numFmtId="0" fontId="57" fillId="0" borderId="18" xfId="0" applyFont="1" applyBorder="1" applyAlignment="1">
      <alignment horizontal="center" vertical="center" wrapText="1"/>
    </xf>
    <xf numFmtId="0" fontId="43" fillId="9" borderId="18" xfId="0" applyFont="1" applyFill="1" applyBorder="1" applyAlignment="1" applyProtection="1">
      <alignment horizontal="center"/>
      <protection locked="0"/>
    </xf>
    <xf numFmtId="0" fontId="43" fillId="9" borderId="18" xfId="0" applyFont="1" applyFill="1" applyBorder="1" applyProtection="1">
      <protection locked="0"/>
    </xf>
    <xf numFmtId="0" fontId="43" fillId="9" borderId="18" xfId="0" applyFont="1" applyFill="1" applyBorder="1" applyAlignment="1" applyProtection="1">
      <alignment vertical="center"/>
      <protection locked="0"/>
    </xf>
    <xf numFmtId="10" fontId="54" fillId="9" borderId="18" xfId="0" applyNumberFormat="1" applyFont="1" applyFill="1" applyBorder="1" applyAlignment="1" applyProtection="1">
      <alignment vertical="center" wrapText="1"/>
      <protection locked="0"/>
    </xf>
    <xf numFmtId="0" fontId="6" fillId="0" borderId="18" xfId="0" applyFont="1" applyBorder="1" applyAlignment="1">
      <alignment horizontal="center" vertical="top"/>
    </xf>
    <xf numFmtId="0" fontId="59" fillId="8" borderId="18" xfId="0" applyFont="1" applyFill="1" applyBorder="1" applyAlignment="1">
      <alignment horizontal="justify" vertical="center" wrapText="1"/>
    </xf>
    <xf numFmtId="2" fontId="6" fillId="9" borderId="14" xfId="0" applyNumberFormat="1" applyFont="1" applyFill="1" applyBorder="1" applyAlignment="1" applyProtection="1">
      <alignment horizontal="center" vertical="center"/>
      <protection locked="0"/>
    </xf>
    <xf numFmtId="0" fontId="6" fillId="9" borderId="18" xfId="0" applyFont="1" applyFill="1" applyBorder="1" applyAlignment="1" applyProtection="1">
      <alignment horizontal="center" vertical="center"/>
      <protection locked="0"/>
    </xf>
    <xf numFmtId="0" fontId="6" fillId="9" borderId="14" xfId="0" applyFont="1" applyFill="1" applyBorder="1" applyAlignment="1" applyProtection="1">
      <alignment horizontal="center" vertical="center"/>
      <protection locked="0"/>
    </xf>
    <xf numFmtId="0" fontId="43" fillId="9" borderId="44" xfId="0" applyFont="1" applyFill="1" applyBorder="1" applyAlignment="1" applyProtection="1">
      <alignment vertical="center"/>
      <protection locked="0"/>
    </xf>
    <xf numFmtId="176" fontId="6" fillId="0" borderId="18" xfId="7" applyNumberFormat="1" applyFont="1" applyBorder="1" applyAlignment="1" applyProtection="1">
      <alignment horizontal="center" vertical="center"/>
    </xf>
    <xf numFmtId="9" fontId="21" fillId="0" borderId="18" xfId="0" applyNumberFormat="1" applyFont="1" applyBorder="1" applyAlignment="1">
      <alignment horizontal="center" vertical="center"/>
    </xf>
    <xf numFmtId="0" fontId="21" fillId="0" borderId="18" xfId="0" applyFont="1" applyBorder="1" applyAlignment="1">
      <alignment horizontal="justify" vertical="top" wrapText="1"/>
    </xf>
    <xf numFmtId="164" fontId="8" fillId="7" borderId="18" xfId="7" applyFont="1" applyFill="1" applyBorder="1" applyAlignment="1" applyProtection="1">
      <alignment horizontal="center" vertical="center"/>
    </xf>
    <xf numFmtId="0" fontId="41" fillId="8" borderId="18" xfId="0" applyFont="1" applyFill="1" applyBorder="1" applyAlignment="1">
      <alignment horizontal="center" vertical="center"/>
    </xf>
    <xf numFmtId="0" fontId="6" fillId="8" borderId="44"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44" fillId="8" borderId="44"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27" fillId="8" borderId="18" xfId="0" applyFont="1" applyFill="1" applyBorder="1" applyAlignment="1">
      <alignment vertical="center" wrapText="1"/>
    </xf>
    <xf numFmtId="0" fontId="31" fillId="7" borderId="18" xfId="0" applyFont="1" applyFill="1" applyBorder="1" applyAlignment="1">
      <alignment horizontal="center" vertical="top" wrapText="1"/>
    </xf>
    <xf numFmtId="0" fontId="31" fillId="7" borderId="18" xfId="0" applyFont="1" applyFill="1" applyBorder="1" applyAlignment="1">
      <alignment horizontal="center" vertical="center" wrapText="1"/>
    </xf>
    <xf numFmtId="0" fontId="53" fillId="7" borderId="18" xfId="48" applyFont="1" applyFill="1" applyBorder="1" applyAlignment="1">
      <alignment horizontal="center" vertical="center" wrapText="1" readingOrder="1"/>
    </xf>
    <xf numFmtId="0" fontId="53" fillId="7" borderId="18" xfId="34" applyFont="1" applyFill="1" applyBorder="1" applyAlignment="1">
      <alignment horizontal="left" vertical="center" readingOrder="1"/>
    </xf>
    <xf numFmtId="0" fontId="43" fillId="7" borderId="18" xfId="0" applyFont="1" applyFill="1" applyBorder="1" applyAlignment="1">
      <alignment horizontal="center"/>
    </xf>
    <xf numFmtId="9" fontId="43" fillId="7" borderId="18" xfId="0" applyNumberFormat="1" applyFont="1" applyFill="1" applyBorder="1" applyAlignment="1">
      <alignment horizontal="center" vertical="top"/>
    </xf>
    <xf numFmtId="0" fontId="43" fillId="7" borderId="18" xfId="0" applyFont="1" applyFill="1" applyBorder="1"/>
    <xf numFmtId="0" fontId="59" fillId="7" borderId="18" xfId="0" applyFont="1" applyFill="1" applyBorder="1" applyAlignment="1">
      <alignment horizontal="justify" vertical="center" wrapText="1"/>
    </xf>
    <xf numFmtId="0" fontId="43" fillId="7" borderId="18" xfId="0" applyFont="1" applyFill="1" applyBorder="1" applyAlignment="1">
      <alignment horizontal="center" vertical="top"/>
    </xf>
    <xf numFmtId="2" fontId="43" fillId="7" borderId="18" xfId="0" applyNumberFormat="1" applyFont="1" applyFill="1" applyBorder="1" applyAlignment="1">
      <alignment vertical="top"/>
    </xf>
    <xf numFmtId="10" fontId="43" fillId="7" borderId="18" xfId="0" applyNumberFormat="1" applyFont="1" applyFill="1" applyBorder="1" applyAlignment="1">
      <alignment vertical="top"/>
    </xf>
    <xf numFmtId="164" fontId="44" fillId="7" borderId="18" xfId="7" applyFont="1" applyFill="1" applyBorder="1" applyAlignment="1" applyProtection="1">
      <alignment vertical="top"/>
    </xf>
    <xf numFmtId="164" fontId="49" fillId="7" borderId="18" xfId="7" applyFont="1" applyFill="1" applyBorder="1" applyAlignment="1" applyProtection="1">
      <alignment horizontal="center" vertical="center" wrapText="1"/>
    </xf>
    <xf numFmtId="0" fontId="4" fillId="0" borderId="0" xfId="0" applyFont="1" applyAlignment="1" applyProtection="1">
      <alignment vertical="center"/>
      <protection hidden="1"/>
    </xf>
    <xf numFmtId="0" fontId="4" fillId="0" borderId="0" xfId="0" applyFont="1" applyAlignment="1" applyProtection="1">
      <alignment horizontal="left"/>
      <protection hidden="1"/>
    </xf>
    <xf numFmtId="164" fontId="4" fillId="0" borderId="0" xfId="7" applyFont="1" applyBorder="1" applyAlignment="1" applyProtection="1">
      <alignment horizontal="center" vertical="center"/>
      <protection hidden="1"/>
    </xf>
    <xf numFmtId="0" fontId="4" fillId="0" borderId="0" xfId="0" applyFont="1" applyAlignment="1" applyProtection="1">
      <alignment vertical="top"/>
      <protection hidden="1"/>
    </xf>
    <xf numFmtId="164" fontId="4" fillId="0" borderId="18" xfId="7" applyFont="1" applyBorder="1" applyAlignment="1" applyProtection="1">
      <alignment horizontal="center" vertical="top"/>
      <protection hidden="1"/>
    </xf>
    <xf numFmtId="164" fontId="4" fillId="0" borderId="18" xfId="7" applyFont="1" applyBorder="1" applyAlignment="1" applyProtection="1">
      <alignment horizontal="center" vertical="center"/>
      <protection hidden="1"/>
    </xf>
    <xf numFmtId="164" fontId="4" fillId="0" borderId="18" xfId="7" applyFont="1" applyFill="1" applyBorder="1" applyAlignment="1" applyProtection="1">
      <alignment horizontal="center" vertical="center"/>
      <protection hidden="1"/>
    </xf>
    <xf numFmtId="0" fontId="4" fillId="0" borderId="39" xfId="0" applyFont="1" applyBorder="1" applyAlignment="1" applyProtection="1">
      <alignment vertical="center" wrapText="1"/>
      <protection hidden="1"/>
    </xf>
    <xf numFmtId="0" fontId="4" fillId="0" borderId="40" xfId="0" applyFont="1" applyBorder="1" applyAlignment="1" applyProtection="1">
      <alignment vertical="center" wrapText="1"/>
      <protection hidden="1"/>
    </xf>
    <xf numFmtId="164" fontId="4" fillId="0" borderId="41" xfId="7" applyFont="1" applyBorder="1" applyAlignment="1" applyProtection="1">
      <alignment horizontal="center" vertical="center" wrapText="1"/>
      <protection hidden="1"/>
    </xf>
    <xf numFmtId="0" fontId="4" fillId="0" borderId="42" xfId="0" applyFont="1" applyBorder="1" applyAlignment="1" applyProtection="1">
      <alignment horizontal="justify" vertical="center"/>
      <protection hidden="1"/>
    </xf>
    <xf numFmtId="0" fontId="4" fillId="0" borderId="0" xfId="0" applyFont="1" applyProtection="1">
      <protection hidden="1"/>
    </xf>
    <xf numFmtId="164" fontId="4" fillId="0" borderId="43" xfId="7" applyFont="1" applyBorder="1" applyAlignment="1" applyProtection="1">
      <alignment horizontal="center"/>
      <protection hidden="1"/>
    </xf>
    <xf numFmtId="0" fontId="4" fillId="0" borderId="42" xfId="0" applyFont="1" applyBorder="1" applyAlignment="1" applyProtection="1">
      <alignment vertical="center"/>
      <protection hidden="1"/>
    </xf>
    <xf numFmtId="0" fontId="4" fillId="0" borderId="44" xfId="0" applyFont="1" applyBorder="1" applyAlignment="1" applyProtection="1">
      <alignment vertical="center"/>
      <protection hidden="1"/>
    </xf>
    <xf numFmtId="0" fontId="4" fillId="0" borderId="19" xfId="0" applyFont="1" applyBorder="1" applyProtection="1">
      <protection hidden="1"/>
    </xf>
    <xf numFmtId="0" fontId="4" fillId="0" borderId="19" xfId="0" applyFont="1" applyBorder="1" applyAlignment="1" applyProtection="1">
      <alignment vertical="center"/>
      <protection hidden="1"/>
    </xf>
    <xf numFmtId="164" fontId="4" fillId="0" borderId="30" xfId="7" applyFont="1" applyBorder="1" applyAlignment="1" applyProtection="1">
      <alignment horizontal="center"/>
      <protection hidden="1"/>
    </xf>
    <xf numFmtId="0" fontId="7" fillId="10" borderId="54" xfId="0" applyFont="1" applyFill="1" applyBorder="1" applyAlignment="1">
      <alignment horizontal="center" vertical="top" wrapText="1"/>
    </xf>
    <xf numFmtId="0" fontId="21" fillId="10" borderId="54" xfId="0" applyFont="1" applyFill="1" applyBorder="1" applyAlignment="1">
      <alignment horizontal="justify" vertical="top" wrapText="1"/>
    </xf>
    <xf numFmtId="164" fontId="43" fillId="11" borderId="18" xfId="7" applyFont="1" applyFill="1" applyBorder="1" applyAlignment="1" applyProtection="1">
      <alignment vertical="center"/>
    </xf>
    <xf numFmtId="2" fontId="43" fillId="11" borderId="18" xfId="0" applyNumberFormat="1" applyFont="1" applyFill="1" applyBorder="1" applyAlignment="1">
      <alignment vertical="top"/>
    </xf>
    <xf numFmtId="0" fontId="58" fillId="0" borderId="18" xfId="0" applyFont="1" applyBorder="1" applyAlignment="1">
      <alignment horizontal="center" vertical="top"/>
    </xf>
    <xf numFmtId="0" fontId="21" fillId="10" borderId="54" xfId="0" applyFont="1" applyFill="1" applyBorder="1" applyAlignment="1">
      <alignment horizontal="center" vertical="center"/>
    </xf>
    <xf numFmtId="2" fontId="21" fillId="10" borderId="54" xfId="0" applyNumberFormat="1" applyFont="1" applyFill="1" applyBorder="1" applyAlignment="1">
      <alignment horizontal="center" vertical="center" wrapText="1"/>
    </xf>
    <xf numFmtId="0" fontId="21" fillId="10" borderId="54" xfId="0" applyFont="1" applyFill="1" applyBorder="1" applyAlignment="1">
      <alignment horizontal="center" vertical="center" wrapText="1"/>
    </xf>
    <xf numFmtId="0" fontId="21" fillId="0" borderId="54" xfId="0" applyFont="1" applyBorder="1" applyAlignment="1">
      <alignment horizontal="center" vertical="center"/>
    </xf>
    <xf numFmtId="0" fontId="43" fillId="0" borderId="0" xfId="0" applyFont="1" applyAlignment="1">
      <alignment vertical="center"/>
    </xf>
    <xf numFmtId="0" fontId="43" fillId="8" borderId="18" xfId="0" applyFont="1" applyFill="1" applyBorder="1" applyAlignment="1">
      <alignment horizontal="center" vertical="center"/>
    </xf>
    <xf numFmtId="0" fontId="43" fillId="7" borderId="18" xfId="0" applyFont="1" applyFill="1" applyBorder="1" applyAlignment="1">
      <alignment horizontal="center" vertical="center"/>
    </xf>
    <xf numFmtId="0" fontId="21" fillId="10" borderId="54" xfId="0" applyFont="1" applyFill="1" applyBorder="1" applyAlignment="1">
      <alignment horizontal="left" vertical="top" wrapText="1"/>
    </xf>
    <xf numFmtId="0" fontId="7" fillId="0" borderId="18" xfId="0" applyFont="1" applyBorder="1" applyAlignment="1">
      <alignment horizontal="justify" vertical="top" wrapText="1"/>
    </xf>
    <xf numFmtId="0" fontId="7" fillId="10" borderId="54" xfId="0" applyFont="1" applyFill="1" applyBorder="1" applyAlignment="1">
      <alignment horizontal="center" vertical="center" wrapText="1"/>
    </xf>
    <xf numFmtId="0" fontId="12" fillId="0" borderId="18" xfId="26" applyBorder="1" applyAlignment="1">
      <alignment horizontal="center" vertical="center" wrapText="1"/>
    </xf>
    <xf numFmtId="0" fontId="21" fillId="0" borderId="18" xfId="0" applyFont="1" applyBorder="1" applyAlignment="1">
      <alignment horizontal="justify" vertical="center" wrapText="1"/>
    </xf>
    <xf numFmtId="0" fontId="43" fillId="11" borderId="0" xfId="0" applyFont="1" applyFill="1" applyAlignment="1">
      <alignment vertical="center"/>
    </xf>
    <xf numFmtId="0" fontId="7" fillId="0" borderId="18" xfId="0" applyFont="1" applyBorder="1" applyAlignment="1">
      <alignment horizontal="center" vertical="top" wrapText="1"/>
    </xf>
    <xf numFmtId="49" fontId="31" fillId="10" borderId="54" xfId="0" applyNumberFormat="1" applyFont="1" applyFill="1" applyBorder="1" applyAlignment="1">
      <alignment horizontal="center" vertical="center" wrapText="1"/>
    </xf>
    <xf numFmtId="1" fontId="21" fillId="10" borderId="54" xfId="0" applyNumberFormat="1" applyFont="1" applyFill="1" applyBorder="1" applyAlignment="1">
      <alignment horizontal="center" vertical="center"/>
    </xf>
    <xf numFmtId="164" fontId="7" fillId="7" borderId="18" xfId="7" applyFont="1" applyFill="1" applyBorder="1" applyAlignment="1">
      <alignment horizontal="center" vertical="center" wrapText="1"/>
    </xf>
    <xf numFmtId="0" fontId="4" fillId="0" borderId="18" xfId="0" applyFont="1" applyBorder="1" applyAlignment="1">
      <alignment horizontal="center" vertical="center"/>
    </xf>
    <xf numFmtId="1" fontId="58" fillId="0" borderId="18" xfId="49" applyNumberFormat="1" applyFont="1" applyBorder="1" applyAlignment="1">
      <alignment horizontal="center" vertical="center" wrapText="1"/>
    </xf>
    <xf numFmtId="0" fontId="8" fillId="0" borderId="18" xfId="0" applyFont="1" applyBorder="1" applyAlignment="1">
      <alignment horizontal="left" vertical="center" wrapText="1"/>
    </xf>
    <xf numFmtId="0" fontId="7" fillId="7" borderId="18" xfId="0" applyFont="1" applyFill="1" applyBorder="1" applyAlignment="1">
      <alignment horizontal="left" vertical="center" wrapText="1"/>
    </xf>
    <xf numFmtId="0" fontId="21" fillId="10" borderId="54" xfId="0" applyFont="1" applyFill="1" applyBorder="1" applyAlignment="1">
      <alignment horizontal="left" vertical="center" wrapText="1"/>
    </xf>
    <xf numFmtId="0" fontId="7" fillId="8" borderId="18" xfId="0" applyFont="1" applyFill="1" applyBorder="1" applyAlignment="1">
      <alignment horizontal="left" vertical="center" wrapText="1"/>
    </xf>
    <xf numFmtId="0" fontId="0" fillId="0" borderId="0" xfId="0" applyAlignment="1" applyProtection="1">
      <alignment horizontal="left" vertical="center"/>
      <protection hidden="1"/>
    </xf>
    <xf numFmtId="177" fontId="4" fillId="0" borderId="0" xfId="0" applyNumberFormat="1" applyFont="1" applyProtection="1">
      <protection hidden="1"/>
    </xf>
    <xf numFmtId="2" fontId="61" fillId="10" borderId="18" xfId="0" applyNumberFormat="1" applyFont="1" applyFill="1" applyBorder="1" applyAlignment="1">
      <alignment horizontal="justify" vertical="top" wrapText="1"/>
    </xf>
    <xf numFmtId="0" fontId="61" fillId="10" borderId="18" xfId="0" applyFont="1" applyFill="1" applyBorder="1" applyAlignment="1">
      <alignment horizontal="justify" vertical="top" wrapText="1"/>
    </xf>
    <xf numFmtId="49" fontId="62" fillId="10" borderId="18" xfId="0" quotePrefix="1" applyNumberFormat="1" applyFont="1" applyFill="1" applyBorder="1" applyAlignment="1">
      <alignment horizontal="center" vertical="top" wrapText="1"/>
    </xf>
    <xf numFmtId="0" fontId="21" fillId="10" borderId="55" xfId="0" applyFont="1" applyFill="1" applyBorder="1" applyAlignment="1">
      <alignment horizontal="center" vertical="center"/>
    </xf>
    <xf numFmtId="164" fontId="43" fillId="0" borderId="18" xfId="7" applyFont="1" applyFill="1" applyBorder="1" applyAlignment="1" applyProtection="1">
      <alignment vertical="center"/>
    </xf>
    <xf numFmtId="49" fontId="62" fillId="10" borderId="18" xfId="0" applyNumberFormat="1" applyFont="1" applyFill="1" applyBorder="1" applyAlignment="1">
      <alignment horizontal="center" vertical="center" wrapText="1"/>
    </xf>
    <xf numFmtId="0" fontId="61" fillId="10" borderId="18" xfId="0" applyFont="1" applyFill="1" applyBorder="1" applyAlignment="1">
      <alignment horizontal="justify" vertical="center" wrapText="1"/>
    </xf>
    <xf numFmtId="0" fontId="61" fillId="10" borderId="18" xfId="0" applyFont="1" applyFill="1" applyBorder="1" applyAlignment="1">
      <alignment horizontal="center" vertical="center"/>
    </xf>
    <xf numFmtId="49" fontId="62" fillId="10" borderId="14" xfId="0" applyNumberFormat="1" applyFont="1" applyFill="1" applyBorder="1" applyAlignment="1">
      <alignment horizontal="center" vertical="center" wrapText="1"/>
    </xf>
    <xf numFmtId="1" fontId="21" fillId="10" borderId="55" xfId="0" applyNumberFormat="1" applyFont="1" applyFill="1" applyBorder="1" applyAlignment="1">
      <alignment horizontal="center" vertical="center"/>
    </xf>
    <xf numFmtId="0" fontId="21" fillId="10" borderId="18" xfId="0" applyFont="1" applyFill="1" applyBorder="1" applyAlignment="1">
      <alignment horizontal="justify" vertical="top" wrapText="1"/>
    </xf>
    <xf numFmtId="0" fontId="62" fillId="10" borderId="18" xfId="0" applyFont="1" applyFill="1" applyBorder="1" applyAlignment="1">
      <alignment horizontal="justify" vertical="center" wrapText="1"/>
    </xf>
    <xf numFmtId="0" fontId="6" fillId="0" borderId="18" xfId="0" applyFont="1" applyBorder="1" applyAlignment="1">
      <alignment horizontal="left" vertical="center"/>
    </xf>
    <xf numFmtId="172" fontId="64" fillId="10" borderId="18" xfId="53" applyNumberFormat="1" applyFont="1" applyFill="1" applyBorder="1" applyAlignment="1">
      <alignment horizontal="center" vertical="center" wrapText="1"/>
    </xf>
    <xf numFmtId="0" fontId="43" fillId="8" borderId="0" xfId="0" applyFont="1" applyFill="1" applyAlignment="1">
      <alignment horizontal="center" vertical="center"/>
    </xf>
    <xf numFmtId="0" fontId="43" fillId="8" borderId="0" xfId="0" applyFont="1" applyFill="1" applyAlignment="1">
      <alignment horizontal="center" vertical="top"/>
    </xf>
    <xf numFmtId="0" fontId="62" fillId="10" borderId="18" xfId="0" quotePrefix="1" applyFont="1" applyFill="1" applyBorder="1" applyAlignment="1">
      <alignment horizontal="center" vertical="center" wrapText="1"/>
    </xf>
    <xf numFmtId="0" fontId="61" fillId="10" borderId="18" xfId="0" applyFont="1" applyFill="1" applyBorder="1" applyAlignment="1">
      <alignment horizontal="center" vertical="center" wrapText="1"/>
    </xf>
    <xf numFmtId="49" fontId="62" fillId="10" borderId="18" xfId="0" quotePrefix="1" applyNumberFormat="1" applyFont="1" applyFill="1" applyBorder="1" applyAlignment="1">
      <alignment horizontal="center" vertical="center" wrapText="1"/>
    </xf>
    <xf numFmtId="0" fontId="61" fillId="10" borderId="0" xfId="0" applyFont="1" applyFill="1" applyAlignment="1">
      <alignment horizontal="center" vertical="center"/>
    </xf>
    <xf numFmtId="0" fontId="21" fillId="10" borderId="56" xfId="0" applyFont="1" applyFill="1" applyBorder="1" applyAlignment="1">
      <alignment horizontal="center" vertical="center"/>
    </xf>
    <xf numFmtId="0" fontId="21" fillId="10" borderId="18" xfId="0" applyFont="1" applyFill="1" applyBorder="1" applyAlignment="1">
      <alignment horizontal="center" vertical="center"/>
    </xf>
    <xf numFmtId="164" fontId="6" fillId="0" borderId="18" xfId="7" applyFont="1" applyFill="1" applyBorder="1" applyAlignment="1" applyProtection="1">
      <alignment horizontal="center" vertical="center"/>
    </xf>
    <xf numFmtId="0" fontId="43" fillId="11" borderId="18" xfId="0" applyFont="1" applyFill="1" applyBorder="1" applyAlignment="1">
      <alignment vertical="center"/>
    </xf>
    <xf numFmtId="178" fontId="65" fillId="10" borderId="18" xfId="53" applyNumberFormat="1" applyFont="1" applyFill="1" applyBorder="1" applyAlignment="1">
      <alignment horizontal="center" vertical="center" wrapText="1"/>
    </xf>
    <xf numFmtId="178" fontId="65" fillId="10" borderId="18" xfId="52" applyNumberFormat="1" applyFont="1" applyFill="1" applyBorder="1" applyAlignment="1">
      <alignment horizontal="center" vertical="center" wrapText="1"/>
    </xf>
    <xf numFmtId="179" fontId="66" fillId="10" borderId="18" xfId="53" applyNumberFormat="1" applyFont="1" applyFill="1" applyBorder="1" applyAlignment="1">
      <alignment horizontal="justify" vertical="top" wrapText="1"/>
    </xf>
    <xf numFmtId="179" fontId="66" fillId="10" borderId="18" xfId="53" applyNumberFormat="1" applyFont="1" applyFill="1" applyBorder="1" applyAlignment="1">
      <alignment horizontal="justify" vertical="center" wrapText="1"/>
    </xf>
    <xf numFmtId="179" fontId="66" fillId="10" borderId="18" xfId="53" quotePrefix="1" applyNumberFormat="1" applyFont="1" applyFill="1" applyBorder="1" applyAlignment="1">
      <alignment horizontal="justify" vertical="center" wrapText="1"/>
    </xf>
    <xf numFmtId="179" fontId="66" fillId="10" borderId="18" xfId="53" quotePrefix="1" applyNumberFormat="1" applyFont="1" applyFill="1" applyBorder="1" applyAlignment="1">
      <alignment horizontal="center" vertical="center" wrapText="1"/>
    </xf>
    <xf numFmtId="179" fontId="66" fillId="10" borderId="18" xfId="53" applyNumberFormat="1" applyFont="1" applyFill="1" applyBorder="1" applyAlignment="1">
      <alignment horizontal="center" vertical="center" wrapText="1"/>
    </xf>
    <xf numFmtId="171" fontId="65" fillId="10" borderId="18" xfId="53" applyNumberFormat="1" applyFont="1" applyFill="1" applyBorder="1" applyAlignment="1">
      <alignment horizontal="center" vertical="center"/>
    </xf>
    <xf numFmtId="0" fontId="66" fillId="10" borderId="18" xfId="52" applyFont="1" applyFill="1" applyBorder="1" applyAlignment="1">
      <alignment horizontal="justify" vertical="top" wrapText="1"/>
    </xf>
    <xf numFmtId="2" fontId="65" fillId="10" borderId="18" xfId="53" applyNumberFormat="1" applyFont="1" applyFill="1" applyBorder="1" applyAlignment="1">
      <alignment horizontal="center" vertical="center"/>
    </xf>
    <xf numFmtId="178" fontId="65" fillId="10" borderId="18" xfId="53" quotePrefix="1" applyNumberFormat="1" applyFont="1" applyFill="1" applyBorder="1" applyAlignment="1">
      <alignment horizontal="center" vertical="center" wrapText="1"/>
    </xf>
    <xf numFmtId="0" fontId="66" fillId="10" borderId="18" xfId="52" applyFont="1" applyFill="1" applyBorder="1" applyAlignment="1">
      <alignment horizontal="justify" vertical="center" wrapText="1"/>
    </xf>
    <xf numFmtId="0" fontId="62" fillId="10" borderId="18" xfId="0" applyFont="1" applyFill="1" applyBorder="1" applyAlignment="1">
      <alignment horizontal="center" vertical="center"/>
    </xf>
    <xf numFmtId="1" fontId="65" fillId="10" borderId="57" xfId="53" applyNumberFormat="1" applyFont="1" applyFill="1" applyBorder="1" applyAlignment="1">
      <alignment horizontal="center" vertical="center" wrapText="1"/>
    </xf>
    <xf numFmtId="172" fontId="65" fillId="10" borderId="18" xfId="53" applyNumberFormat="1" applyFont="1" applyFill="1" applyBorder="1" applyAlignment="1">
      <alignment horizontal="center" vertical="center" wrapText="1"/>
    </xf>
    <xf numFmtId="0" fontId="66" fillId="10" borderId="18" xfId="53" applyFont="1" applyFill="1" applyBorder="1" applyAlignment="1">
      <alignment horizontal="justify" vertical="top" wrapText="1"/>
    </xf>
    <xf numFmtId="2" fontId="66" fillId="10" borderId="18" xfId="53" applyNumberFormat="1" applyFont="1" applyFill="1" applyBorder="1" applyAlignment="1">
      <alignment horizontal="center" vertical="center"/>
    </xf>
    <xf numFmtId="179" fontId="66" fillId="10" borderId="18" xfId="53" applyNumberFormat="1" applyFont="1" applyFill="1" applyBorder="1" applyAlignment="1">
      <alignment horizontal="left" vertical="center" wrapText="1"/>
    </xf>
    <xf numFmtId="0" fontId="66" fillId="10" borderId="18" xfId="53" applyFont="1" applyFill="1" applyBorder="1" applyAlignment="1">
      <alignment horizontal="justify" vertical="center" wrapText="1"/>
    </xf>
    <xf numFmtId="164" fontId="4" fillId="0" borderId="0" xfId="0" applyNumberFormat="1" applyFont="1" applyProtection="1">
      <protection hidden="1"/>
    </xf>
    <xf numFmtId="164" fontId="67" fillId="10" borderId="18" xfId="7" applyFont="1" applyFill="1" applyBorder="1" applyAlignment="1" applyProtection="1">
      <alignment horizontal="center" vertical="center"/>
    </xf>
    <xf numFmtId="0" fontId="21" fillId="10" borderId="58" xfId="0" applyFont="1" applyFill="1" applyBorder="1" applyAlignment="1">
      <alignment horizontal="center" vertical="center"/>
    </xf>
    <xf numFmtId="0" fontId="7" fillId="5" borderId="54" xfId="0" applyFont="1" applyFill="1" applyBorder="1" applyAlignment="1">
      <alignment horizontal="center" vertical="top" wrapText="1"/>
    </xf>
    <xf numFmtId="0" fontId="60" fillId="0" borderId="0" xfId="39" applyFont="1" applyAlignment="1">
      <alignment horizontal="center" vertical="center" wrapText="1"/>
    </xf>
    <xf numFmtId="0" fontId="50" fillId="0" borderId="0" xfId="39" applyFont="1" applyAlignment="1">
      <alignment horizontal="center" vertical="center" wrapText="1"/>
    </xf>
    <xf numFmtId="0" fontId="50" fillId="5" borderId="0" xfId="39" applyFont="1" applyFill="1" applyAlignment="1">
      <alignment horizontal="center" vertical="center" wrapText="1"/>
    </xf>
    <xf numFmtId="0" fontId="36" fillId="3" borderId="0" xfId="37" applyFont="1" applyFill="1" applyAlignment="1">
      <alignment horizontal="center" vertical="center"/>
    </xf>
    <xf numFmtId="0" fontId="9" fillId="0" borderId="0" xfId="40" applyAlignment="1" applyProtection="1">
      <alignment horizontal="left"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justify" vertical="center" wrapText="1"/>
      <protection hidden="1"/>
    </xf>
    <xf numFmtId="0" fontId="10" fillId="0" borderId="0" xfId="40" applyFont="1" applyAlignment="1" applyProtection="1">
      <alignment horizontal="left" vertical="center" wrapText="1"/>
      <protection hidden="1"/>
    </xf>
    <xf numFmtId="0" fontId="5" fillId="0" borderId="0" xfId="25" applyFont="1" applyAlignment="1" applyProtection="1">
      <alignment horizontal="center" vertical="top"/>
      <protection hidden="1"/>
    </xf>
    <xf numFmtId="0" fontId="6" fillId="0" borderId="0" xfId="25" applyFont="1" applyAlignment="1" applyProtection="1">
      <alignment horizontal="center" vertical="top"/>
      <protection hidden="1"/>
    </xf>
    <xf numFmtId="0" fontId="8" fillId="0" borderId="0" xfId="25" applyFont="1" applyAlignment="1" applyProtection="1">
      <alignment horizontal="center" vertical="top"/>
      <protection hidden="1"/>
    </xf>
    <xf numFmtId="0" fontId="5" fillId="4" borderId="0" xfId="25" applyFont="1" applyFill="1" applyAlignment="1" applyProtection="1">
      <alignment horizontal="center" vertical="top"/>
      <protection hidden="1"/>
    </xf>
    <xf numFmtId="0" fontId="6" fillId="0" borderId="0" xfId="25" applyFont="1" applyAlignment="1" applyProtection="1">
      <alignment horizontal="center" vertical="top" wrapText="1"/>
      <protection hidden="1"/>
    </xf>
    <xf numFmtId="0" fontId="6" fillId="0" borderId="0" xfId="25" applyFont="1" applyAlignment="1" applyProtection="1">
      <alignment horizontal="justify" vertical="top" wrapText="1"/>
      <protection hidden="1"/>
    </xf>
    <xf numFmtId="0" fontId="8" fillId="0" borderId="0" xfId="25" applyFont="1" applyAlignment="1" applyProtection="1">
      <alignment horizontal="justify"/>
      <protection hidden="1"/>
    </xf>
    <xf numFmtId="0" fontId="6" fillId="0" borderId="19" xfId="25" applyFont="1" applyBorder="1" applyAlignment="1" applyProtection="1">
      <alignment horizontal="justify" vertical="top" wrapText="1"/>
      <protection hidden="1"/>
    </xf>
    <xf numFmtId="0" fontId="6" fillId="0" borderId="19" xfId="25" applyFont="1" applyBorder="1" applyAlignment="1" applyProtection="1">
      <alignment horizontal="left" vertical="top" wrapText="1" indent="5"/>
      <protection hidden="1"/>
    </xf>
    <xf numFmtId="0" fontId="6" fillId="0" borderId="0" xfId="25" applyFont="1" applyAlignment="1" applyProtection="1">
      <alignment horizontal="left" vertical="top" wrapText="1" indent="5"/>
      <protection hidden="1"/>
    </xf>
    <xf numFmtId="0" fontId="6" fillId="0" borderId="0" xfId="25" applyFont="1" applyAlignment="1" applyProtection="1">
      <alignment horizontal="justify" vertical="top"/>
      <protection hidden="1"/>
    </xf>
    <xf numFmtId="0" fontId="6" fillId="0" borderId="0" xfId="25" applyFont="1" applyAlignment="1" applyProtection="1">
      <alignment horizontal="justify"/>
      <protection hidden="1"/>
    </xf>
    <xf numFmtId="0" fontId="9" fillId="0" borderId="0" xfId="25" applyFont="1" applyAlignment="1" applyProtection="1">
      <alignment horizontal="justify" vertical="top" wrapText="1"/>
      <protection hidden="1"/>
    </xf>
    <xf numFmtId="0" fontId="9" fillId="0" borderId="0" xfId="25" applyFont="1" applyAlignment="1" applyProtection="1">
      <alignment horizontal="justify" vertical="top"/>
      <protection hidden="1"/>
    </xf>
    <xf numFmtId="0" fontId="6" fillId="0" borderId="0" xfId="25" applyFont="1" applyAlignment="1" applyProtection="1">
      <alignment horizontal="left" vertical="top"/>
      <protection hidden="1"/>
    </xf>
    <xf numFmtId="0" fontId="6" fillId="0" borderId="37" xfId="25" applyFont="1" applyBorder="1" applyAlignment="1" applyProtection="1">
      <alignment horizontal="justify" vertical="top" wrapText="1"/>
      <protection hidden="1"/>
    </xf>
    <xf numFmtId="0" fontId="6" fillId="0" borderId="26" xfId="25" applyFont="1" applyBorder="1" applyAlignment="1" applyProtection="1">
      <alignment horizontal="justify" vertical="top" wrapText="1"/>
      <protection hidden="1"/>
    </xf>
    <xf numFmtId="0" fontId="6" fillId="0" borderId="45" xfId="25" applyFont="1" applyBorder="1" applyAlignment="1" applyProtection="1">
      <alignment horizontal="justify" vertical="top" wrapText="1"/>
      <protection hidden="1"/>
    </xf>
    <xf numFmtId="0" fontId="6" fillId="0" borderId="46" xfId="25" applyFont="1" applyBorder="1" applyAlignment="1" applyProtection="1">
      <alignment horizontal="justify" vertical="top" wrapText="1"/>
      <protection hidden="1"/>
    </xf>
    <xf numFmtId="0" fontId="25" fillId="0" borderId="47" xfId="25" applyFont="1" applyBorder="1" applyAlignment="1" applyProtection="1">
      <alignment horizontal="center" vertical="center"/>
      <protection hidden="1"/>
    </xf>
    <xf numFmtId="0" fontId="25" fillId="0" borderId="48" xfId="25" applyFont="1" applyBorder="1" applyAlignment="1" applyProtection="1">
      <alignment horizontal="center" vertical="center"/>
      <protection hidden="1"/>
    </xf>
    <xf numFmtId="0" fontId="25" fillId="0" borderId="24" xfId="25" applyFont="1" applyBorder="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8" fillId="0" borderId="0" xfId="25" quotePrefix="1" applyFont="1" applyAlignment="1" applyProtection="1">
      <alignment horizontal="left" vertical="top" wrapText="1"/>
      <protection hidden="1"/>
    </xf>
    <xf numFmtId="2" fontId="21" fillId="2" borderId="49" xfId="38" applyNumberFormat="1" applyFont="1" applyFill="1" applyBorder="1" applyAlignment="1" applyProtection="1">
      <alignment horizontal="right" vertical="center"/>
      <protection hidden="1"/>
    </xf>
    <xf numFmtId="2" fontId="21" fillId="2" borderId="50" xfId="38" applyNumberFormat="1" applyFont="1" applyFill="1" applyBorder="1" applyAlignment="1" applyProtection="1">
      <alignment horizontal="right" vertical="center"/>
      <protection hidden="1"/>
    </xf>
    <xf numFmtId="0" fontId="12" fillId="0" borderId="51" xfId="38" applyFont="1" applyBorder="1" applyAlignment="1" applyProtection="1">
      <alignment horizontal="left" vertical="center"/>
      <protection hidden="1"/>
    </xf>
    <xf numFmtId="0" fontId="12" fillId="0" borderId="7" xfId="38" applyFont="1" applyBorder="1" applyAlignment="1" applyProtection="1">
      <alignment horizontal="left" vertical="center"/>
      <protection hidden="1"/>
    </xf>
    <xf numFmtId="0" fontId="12" fillId="0" borderId="9" xfId="38" applyFont="1" applyBorder="1" applyAlignment="1" applyProtection="1">
      <alignment horizontal="left" vertical="top" wrapText="1"/>
      <protection hidden="1"/>
    </xf>
    <xf numFmtId="0" fontId="12" fillId="0" borderId="0" xfId="38" applyFont="1" applyAlignment="1" applyProtection="1">
      <alignment horizontal="left" vertical="top" wrapText="1"/>
      <protection hidden="1"/>
    </xf>
    <xf numFmtId="0" fontId="12" fillId="0" borderId="10" xfId="38" applyFont="1" applyBorder="1" applyAlignment="1" applyProtection="1">
      <alignment horizontal="left" vertical="top" wrapText="1"/>
      <protection hidden="1"/>
    </xf>
    <xf numFmtId="164" fontId="12" fillId="2" borderId="49" xfId="16" applyFont="1" applyFill="1" applyBorder="1" applyAlignment="1" applyProtection="1">
      <alignment horizontal="right" vertical="center"/>
      <protection hidden="1"/>
    </xf>
    <xf numFmtId="164" fontId="12" fillId="2" borderId="50" xfId="16" applyFont="1" applyFill="1" applyBorder="1" applyAlignment="1" applyProtection="1">
      <alignment horizontal="right" vertical="center"/>
      <protection hidden="1"/>
    </xf>
    <xf numFmtId="0" fontId="28" fillId="0" borderId="16" xfId="28" applyFont="1" applyBorder="1" applyAlignment="1" applyProtection="1">
      <alignment horizontal="left" vertical="top" wrapText="1"/>
      <protection hidden="1"/>
    </xf>
    <xf numFmtId="0" fontId="30" fillId="0" borderId="49" xfId="28" applyBorder="1" applyAlignment="1" applyProtection="1">
      <alignment horizontal="left" vertical="top" wrapText="1"/>
      <protection hidden="1"/>
    </xf>
    <xf numFmtId="0" fontId="30" fillId="0" borderId="2" xfId="28" applyBorder="1" applyAlignment="1" applyProtection="1">
      <alignment horizontal="left" vertical="top" wrapText="1"/>
      <protection hidden="1"/>
    </xf>
    <xf numFmtId="0" fontId="30" fillId="0" borderId="50" xfId="28" applyBorder="1" applyAlignment="1" applyProtection="1">
      <alignment horizontal="left" vertical="top" wrapText="1"/>
      <protection hidden="1"/>
    </xf>
    <xf numFmtId="0" fontId="52" fillId="0" borderId="40" xfId="0" applyFont="1" applyBorder="1" applyAlignment="1">
      <alignment horizontal="center" vertical="center"/>
    </xf>
    <xf numFmtId="0" fontId="52" fillId="0" borderId="41"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8" fillId="0" borderId="18" xfId="0" applyFont="1" applyBorder="1" applyAlignment="1">
      <alignment horizontal="right" vertical="center"/>
    </xf>
    <xf numFmtId="0" fontId="56" fillId="0" borderId="18" xfId="0" applyFont="1" applyBorder="1" applyAlignment="1">
      <alignment horizontal="right" vertical="center"/>
    </xf>
    <xf numFmtId="0" fontId="44" fillId="0" borderId="18" xfId="0" applyFont="1" applyBorder="1" applyAlignment="1">
      <alignment horizontal="right" vertical="center"/>
    </xf>
    <xf numFmtId="0" fontId="44" fillId="7" borderId="18" xfId="0" applyFont="1" applyFill="1" applyBorder="1" applyAlignment="1">
      <alignment horizontal="right" vertical="center"/>
    </xf>
    <xf numFmtId="0" fontId="8" fillId="0" borderId="18" xfId="0" applyFont="1" applyBorder="1" applyAlignment="1">
      <alignment horizontal="right" vertical="center" wrapText="1"/>
    </xf>
    <xf numFmtId="0" fontId="44" fillId="0" borderId="0" xfId="0" applyFont="1" applyAlignment="1">
      <alignment horizontal="center" vertical="center" wrapText="1"/>
    </xf>
    <xf numFmtId="0" fontId="51" fillId="0" borderId="19" xfId="0" applyFont="1" applyBorder="1" applyAlignment="1">
      <alignment horizontal="center"/>
    </xf>
    <xf numFmtId="0" fontId="45" fillId="5" borderId="40" xfId="0" applyFont="1" applyFill="1" applyBorder="1" applyAlignment="1">
      <alignment horizontal="center" vertical="center"/>
    </xf>
    <xf numFmtId="0" fontId="8" fillId="7" borderId="18" xfId="0" applyFont="1" applyFill="1" applyBorder="1" applyAlignment="1">
      <alignment horizontal="right" vertical="center"/>
    </xf>
    <xf numFmtId="0" fontId="4" fillId="0" borderId="0" xfId="0" applyFont="1" applyAlignment="1" applyProtection="1">
      <alignment vertical="center"/>
      <protection hidden="1"/>
    </xf>
    <xf numFmtId="0" fontId="34" fillId="0" borderId="14" xfId="0" applyFont="1" applyBorder="1" applyAlignment="1" applyProtection="1">
      <alignment horizontal="center" vertical="center" wrapText="1"/>
      <protection hidden="1"/>
    </xf>
    <xf numFmtId="0" fontId="9" fillId="0" borderId="0" xfId="0" applyFont="1" applyAlignment="1" applyProtection="1">
      <alignment vertical="center"/>
      <protection hidden="1"/>
    </xf>
    <xf numFmtId="0" fontId="34" fillId="0" borderId="18" xfId="0" applyFont="1" applyBorder="1" applyAlignment="1" applyProtection="1">
      <alignment horizontal="justify" vertical="center" wrapText="1"/>
      <protection hidden="1"/>
    </xf>
    <xf numFmtId="0" fontId="4" fillId="0" borderId="18" xfId="0" applyFont="1" applyBorder="1" applyAlignment="1" applyProtection="1">
      <alignment horizontal="justify" vertical="center" wrapText="1"/>
      <protection hidden="1"/>
    </xf>
    <xf numFmtId="0" fontId="34" fillId="0" borderId="38" xfId="0" applyFont="1" applyBorder="1" applyAlignment="1" applyProtection="1">
      <alignment horizontal="left" vertical="center" wrapText="1"/>
      <protection hidden="1"/>
    </xf>
    <xf numFmtId="0" fontId="34" fillId="0" borderId="11"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6" fillId="0" borderId="38" xfId="0" applyFont="1" applyBorder="1" applyAlignment="1" applyProtection="1">
      <alignment horizontal="left" vertical="center" wrapText="1"/>
      <protection hidden="1"/>
    </xf>
    <xf numFmtId="0" fontId="6" fillId="0" borderId="11" xfId="0" applyFont="1" applyBorder="1" applyAlignment="1" applyProtection="1">
      <alignment horizontal="left" vertical="center" wrapText="1"/>
      <protection hidden="1"/>
    </xf>
    <xf numFmtId="0" fontId="4" fillId="0" borderId="38"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8" fillId="0" borderId="38"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9" fillId="0" borderId="0" xfId="35" applyFont="1" applyAlignment="1" applyProtection="1">
      <alignment horizontal="justify" vertical="center"/>
      <protection hidden="1"/>
    </xf>
    <xf numFmtId="0" fontId="10" fillId="0" borderId="0" xfId="35" applyFont="1" applyAlignment="1" applyProtection="1">
      <alignment horizontal="center" vertical="center"/>
      <protection hidden="1"/>
    </xf>
    <xf numFmtId="0" fontId="9" fillId="2" borderId="0" xfId="35" applyFont="1" applyFill="1" applyAlignment="1" applyProtection="1">
      <alignment horizontal="left" vertical="center"/>
      <protection locked="0"/>
    </xf>
    <xf numFmtId="173" fontId="9" fillId="6" borderId="0" xfId="35" applyNumberFormat="1" applyFont="1" applyFill="1" applyAlignment="1" applyProtection="1">
      <alignment horizontal="left" vertical="center"/>
      <protection locked="0"/>
    </xf>
    <xf numFmtId="0" fontId="10" fillId="0" borderId="0" xfId="35" applyFont="1" applyAlignment="1" applyProtection="1">
      <alignment horizontal="justify" vertical="top"/>
      <protection hidden="1"/>
    </xf>
    <xf numFmtId="0" fontId="9" fillId="0" borderId="0" xfId="35" applyFont="1" applyAlignment="1" applyProtection="1">
      <alignment horizontal="justify" vertical="top"/>
      <protection hidden="1"/>
    </xf>
    <xf numFmtId="0" fontId="9" fillId="0" borderId="0" xfId="35" applyFont="1" applyAlignment="1" applyProtection="1">
      <alignment horizontal="center" vertical="top"/>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left" vertical="top" wrapText="1"/>
      <protection hidden="1"/>
    </xf>
    <xf numFmtId="173" fontId="10" fillId="0" borderId="0" xfId="35" applyNumberFormat="1" applyFont="1" applyAlignment="1" applyProtection="1">
      <alignment horizontal="left" vertical="center" indent="1"/>
      <protection hidden="1"/>
    </xf>
    <xf numFmtId="0" fontId="9" fillId="0" borderId="52" xfId="33" applyBorder="1" applyAlignment="1" applyProtection="1">
      <alignment horizontal="left" vertical="center" indent="2"/>
      <protection hidden="1"/>
    </xf>
    <xf numFmtId="0" fontId="9" fillId="2" borderId="37" xfId="33" applyFill="1" applyBorder="1" applyAlignment="1" applyProtection="1">
      <alignment horizontal="left" vertical="center"/>
      <protection locked="0"/>
    </xf>
    <xf numFmtId="0" fontId="9" fillId="0" borderId="0" xfId="33" applyAlignment="1" applyProtection="1">
      <alignment horizontal="left" vertical="center" indent="2"/>
      <protection hidden="1"/>
    </xf>
    <xf numFmtId="0" fontId="5" fillId="0" borderId="0" xfId="35" quotePrefix="1" applyFont="1" applyAlignment="1" applyProtection="1">
      <alignment horizontal="center" vertical="center"/>
      <protection hidden="1"/>
    </xf>
    <xf numFmtId="0" fontId="9" fillId="0" borderId="53" xfId="33" applyBorder="1" applyAlignment="1" applyProtection="1">
      <alignment horizontal="left" vertical="center" indent="2"/>
      <protection hidden="1"/>
    </xf>
    <xf numFmtId="0" fontId="9" fillId="0" borderId="37" xfId="33" applyBorder="1" applyAlignment="1" applyProtection="1">
      <alignment horizontal="left" vertical="center" indent="2"/>
      <protection hidden="1"/>
    </xf>
    <xf numFmtId="0" fontId="9" fillId="0" borderId="52" xfId="33" applyBorder="1" applyAlignment="1" applyProtection="1">
      <alignment horizontal="justify" vertical="center" wrapText="1"/>
      <protection hidden="1"/>
    </xf>
  </cellXfs>
  <cellStyles count="6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2 2 2" xfId="57" xr:uid="{A656D6DD-1DFA-444A-BA5E-ECF16332DC7B}"/>
    <cellStyle name="Comma 2 3" xfId="56" xr:uid="{41B61464-F966-411F-AC76-3C3C5D83A19A}"/>
    <cellStyle name="Comma 3" xfId="55" xr:uid="{34BF4E35-7080-4F0A-97E0-3D3C72793C8C}"/>
    <cellStyle name="Comma 4" xfId="60" xr:uid="{786D75CB-6F6E-4143-B999-2DA4CDB30725}"/>
    <cellStyle name="Comma 5" xfId="54" xr:uid="{7BE61EB8-B9E1-46A2-B7B9-39D7A0D68D3A}"/>
    <cellStyle name="Comma 6" xfId="59" xr:uid="{B8E8D858-77D8-482B-B2FC-BB8C68F68A7D}"/>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100" xfId="53" xr:uid="{23CC9A11-5C5C-41DC-B2D4-4C2BB7191903}"/>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 2 3 2 2" xfId="63" xr:uid="{1D00B7B7-5474-4978-9829-AEB74DDB7037}"/>
    <cellStyle name="Normal 2 2 3 3" xfId="61" xr:uid="{6FBAEC60-8E00-4A77-9125-B85BC868654D}"/>
    <cellStyle name="Normal 2 3" xfId="52" xr:uid="{5D96910C-A993-4112-A86C-304DE54D28BD}"/>
    <cellStyle name="Normal 2 4" xfId="58" xr:uid="{01FB1C15-D923-409F-835E-EBF4F286D2AC}"/>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 7 2" xfId="62" xr:uid="{0E7CBE4E-FF86-4FC2-B8B6-B5BA59E01BAE}"/>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C5" sqref="C5"/>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75" customHeight="1">
      <c r="A1" s="365" t="s">
        <v>0</v>
      </c>
      <c r="B1" s="366"/>
      <c r="C1" s="366"/>
      <c r="D1" s="124"/>
    </row>
    <row r="2" spans="1:4" ht="45" customHeight="1">
      <c r="A2" s="367" t="s">
        <v>992</v>
      </c>
      <c r="B2" s="367"/>
      <c r="C2" s="367"/>
      <c r="D2" s="123"/>
    </row>
    <row r="3" spans="1:4" ht="20.25" customHeight="1">
      <c r="A3" s="368" t="s">
        <v>1</v>
      </c>
      <c r="B3" s="368"/>
      <c r="C3" s="368"/>
    </row>
    <row r="4" spans="1:4" ht="17.25" thickBot="1">
      <c r="A4" s="85"/>
      <c r="B4" s="85"/>
      <c r="C4" s="86"/>
    </row>
    <row r="5" spans="1:4" ht="32.25" customHeight="1">
      <c r="A5" s="87" t="s">
        <v>2</v>
      </c>
      <c r="B5" s="88"/>
      <c r="C5" s="113" t="s">
        <v>3</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4</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5</v>
      </c>
      <c r="B14" s="106"/>
      <c r="C14" s="116"/>
      <c r="D14" s="84" t="b">
        <f>ISBLANK(C14)</f>
        <v>1</v>
      </c>
    </row>
    <row r="15" spans="1:4">
      <c r="A15" s="105" t="s">
        <v>6</v>
      </c>
      <c r="B15" s="152" t="s">
        <v>7</v>
      </c>
      <c r="C15" s="115"/>
      <c r="D15" s="84" t="b">
        <f>ISBLANK(C15)</f>
        <v>1</v>
      </c>
    </row>
    <row r="16" spans="1:4">
      <c r="A16" s="103"/>
      <c r="B16" s="86"/>
      <c r="C16" s="104"/>
    </row>
    <row r="17" spans="1:5">
      <c r="A17" s="105" t="s">
        <v>8</v>
      </c>
      <c r="B17" s="106"/>
      <c r="C17" s="116"/>
      <c r="D17" s="84" t="b">
        <f>ISBLANK(C17)</f>
        <v>1</v>
      </c>
    </row>
    <row r="18" spans="1:5">
      <c r="A18" s="105" t="s">
        <v>9</v>
      </c>
      <c r="B18" s="106"/>
      <c r="C18" s="117"/>
      <c r="D18" s="84" t="b">
        <f>ISBLANK(C18)</f>
        <v>1</v>
      </c>
    </row>
    <row r="19" spans="1:5">
      <c r="A19" s="107"/>
      <c r="B19" s="108"/>
      <c r="C19" s="109"/>
    </row>
    <row r="20" spans="1:5">
      <c r="A20" s="105" t="s">
        <v>10</v>
      </c>
      <c r="B20" s="106"/>
      <c r="C20" s="122"/>
      <c r="D20" s="84" t="b">
        <f>ISBLANK(C20)</f>
        <v>1</v>
      </c>
    </row>
    <row r="21" spans="1:5" ht="22.5" customHeight="1" thickBot="1">
      <c r="A21" s="110" t="s">
        <v>11</v>
      </c>
      <c r="B21" s="111"/>
      <c r="C21" s="118"/>
      <c r="D21" s="84" t="b">
        <f>ISBLANK(C21)</f>
        <v>1</v>
      </c>
      <c r="E21" s="154" t="str">
        <f>IF(COUNTIF(D9:D21,"TRUE"),"False","Sheet OK")</f>
        <v>False</v>
      </c>
    </row>
    <row r="22" spans="1:5" ht="36.75" customHeight="1">
      <c r="C22" s="129" t="str">
        <f>IF(E21="False","ENTER DETAILS","Sheet OK")</f>
        <v>ENTER DETAILS</v>
      </c>
      <c r="D22" s="129"/>
      <c r="E22" s="129"/>
    </row>
  </sheetData>
  <sheetProtection algorithmName="SHA-512" hashValue="bfhHGsB5Z1xX9fqlsbBHuqh+RKjOMVRd2xCbE685kbMDqsSH2fvt0trbT5XBDAih6KYOfX30WLq+yjpXKn0WTQ==" saltValue="j1fpXjN6egR0aOZoOcpj6A==" spinCount="100000" sheet="1" objects="1" scenarios="1" formatColumns="0" formatRows="0" selectLockedCells="1"/>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30" type="noConversion"/>
  <conditionalFormatting sqref="C7">
    <cfRule type="expression" dxfId="11" priority="15" stopIfTrue="1">
      <formula>$A$7="Total Nos. of  Partners in the JV [excluding the Lead Partner]"</formula>
    </cfRule>
  </conditionalFormatting>
  <conditionalFormatting sqref="C8">
    <cfRule type="expression" dxfId="10"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12</v>
      </c>
    </row>
    <row r="2" spans="1:9" ht="15.75">
      <c r="A2" s="75"/>
      <c r="B2" s="75"/>
      <c r="C2" s="75"/>
      <c r="D2" s="75"/>
      <c r="E2" s="75"/>
    </row>
    <row r="3" spans="1:9" ht="63.75" customHeight="1">
      <c r="A3" s="371" t="e">
        <f>#REF!</f>
        <v>#REF!</v>
      </c>
      <c r="B3" s="371"/>
      <c r="C3" s="371"/>
      <c r="D3" s="371"/>
      <c r="E3" s="371"/>
      <c r="F3" s="54"/>
      <c r="G3" s="54"/>
      <c r="H3" s="54"/>
    </row>
    <row r="4" spans="1:9" ht="20.100000000000001" customHeight="1">
      <c r="A4" s="72"/>
      <c r="H4" s="22"/>
      <c r="I4" s="23"/>
    </row>
    <row r="5" spans="1:9" ht="20.100000000000001" customHeight="1">
      <c r="A5" s="372" t="s">
        <v>13</v>
      </c>
      <c r="B5" s="372"/>
      <c r="C5" s="372"/>
      <c r="D5" s="372"/>
      <c r="E5" s="372"/>
      <c r="F5" s="24"/>
      <c r="H5" s="22"/>
      <c r="I5" s="23"/>
    </row>
    <row r="6" spans="1:9" ht="20.100000000000001" customHeight="1">
      <c r="A6" s="76"/>
      <c r="H6" s="22"/>
      <c r="I6" s="23"/>
    </row>
    <row r="7" spans="1:9" ht="20.100000000000001" customHeight="1">
      <c r="A7" s="63" t="s">
        <v>14</v>
      </c>
      <c r="E7" s="65" t="s">
        <v>14</v>
      </c>
      <c r="H7" s="22"/>
      <c r="I7" s="23"/>
    </row>
    <row r="8" spans="1:9" ht="36" customHeight="1">
      <c r="A8" s="373" t="e">
        <f>#REF!</f>
        <v>#REF!</v>
      </c>
      <c r="B8" s="373"/>
      <c r="C8" s="373"/>
      <c r="D8" s="373"/>
      <c r="E8" s="66" t="e">
        <f>#REF!</f>
        <v>#REF!</v>
      </c>
      <c r="H8" s="22"/>
      <c r="I8" s="23"/>
    </row>
    <row r="9" spans="1:9">
      <c r="A9" s="77" t="s">
        <v>15</v>
      </c>
      <c r="B9" s="374" t="e">
        <f>#REF!</f>
        <v>#REF!</v>
      </c>
      <c r="C9" s="374"/>
      <c r="D9" s="374"/>
      <c r="E9" s="66" t="e">
        <f>#REF!</f>
        <v>#REF!</v>
      </c>
      <c r="H9" s="22"/>
      <c r="I9" s="23"/>
    </row>
    <row r="10" spans="1:9">
      <c r="A10" s="77" t="s">
        <v>16</v>
      </c>
      <c r="B10" s="369" t="e">
        <f>#REF!</f>
        <v>#REF!</v>
      </c>
      <c r="C10" s="369"/>
      <c r="D10" s="369"/>
      <c r="E10" s="66" t="e">
        <f>#REF!</f>
        <v>#REF!</v>
      </c>
      <c r="H10" s="22"/>
      <c r="I10" s="23"/>
    </row>
    <row r="11" spans="1:9">
      <c r="B11" s="369" t="e">
        <f>#REF!</f>
        <v>#REF!</v>
      </c>
      <c r="C11" s="369"/>
      <c r="D11" s="369"/>
      <c r="E11" s="66" t="e">
        <f>#REF!</f>
        <v>#REF!</v>
      </c>
    </row>
    <row r="12" spans="1:9">
      <c r="A12" s="76"/>
      <c r="B12" s="369" t="e">
        <f>#REF!</f>
        <v>#REF!</v>
      </c>
      <c r="C12" s="369"/>
      <c r="D12" s="369"/>
      <c r="E12" s="78" t="e">
        <f>#REF!</f>
        <v>#REF!</v>
      </c>
    </row>
    <row r="13" spans="1:9" ht="20.100000000000001" customHeight="1">
      <c r="A13" s="76"/>
      <c r="B13" s="79"/>
      <c r="C13" s="79"/>
      <c r="D13" s="79"/>
      <c r="E13" s="62"/>
    </row>
    <row r="14" spans="1:9" ht="20.100000000000001" customHeight="1">
      <c r="A14" s="67" t="s">
        <v>17</v>
      </c>
    </row>
    <row r="15" spans="1:9" ht="20.100000000000001" customHeight="1">
      <c r="A15" s="76"/>
    </row>
    <row r="16" spans="1:9" ht="24.75" customHeight="1">
      <c r="A16" s="370" t="s">
        <v>18</v>
      </c>
      <c r="B16" s="370"/>
      <c r="C16" s="370"/>
      <c r="D16" s="370"/>
      <c r="E16" s="370"/>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19</v>
      </c>
      <c r="B24" s="81">
        <f>'Name of Bidder'!C20</f>
        <v>0</v>
      </c>
      <c r="C24" s="82"/>
      <c r="D24" s="69" t="s">
        <v>20</v>
      </c>
      <c r="E24" s="83">
        <f>'Name of Bidder'!C17</f>
        <v>0</v>
      </c>
    </row>
    <row r="25" spans="1:5" ht="33" customHeight="1">
      <c r="A25" s="68" t="s">
        <v>21</v>
      </c>
      <c r="B25" s="83">
        <f>'Name of Bidder'!C21</f>
        <v>0</v>
      </c>
      <c r="C25" s="82"/>
      <c r="D25" s="69" t="s">
        <v>22</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6"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94" t="s">
        <v>23</v>
      </c>
      <c r="B1" s="395"/>
      <c r="C1" s="395"/>
      <c r="D1" s="395"/>
      <c r="E1" s="395"/>
      <c r="F1" s="395"/>
      <c r="G1" s="395"/>
      <c r="H1" s="395"/>
      <c r="I1" s="396"/>
    </row>
    <row r="2" spans="1:9" ht="31.5" customHeight="1">
      <c r="A2" s="18" t="s">
        <v>24</v>
      </c>
      <c r="B2" s="390" t="s">
        <v>25</v>
      </c>
      <c r="C2" s="390"/>
      <c r="D2" s="390"/>
      <c r="E2" s="390"/>
      <c r="F2" s="390"/>
      <c r="G2" s="390"/>
      <c r="H2" s="390"/>
      <c r="I2" s="391"/>
    </row>
    <row r="3" spans="1:9" ht="36" customHeight="1">
      <c r="A3" s="18" t="s">
        <v>26</v>
      </c>
      <c r="B3" s="390" t="s">
        <v>27</v>
      </c>
      <c r="C3" s="390"/>
      <c r="D3" s="390"/>
      <c r="E3" s="390"/>
      <c r="F3" s="390"/>
      <c r="G3" s="390"/>
      <c r="H3" s="390"/>
      <c r="I3" s="391"/>
    </row>
    <row r="4" spans="1:9" ht="36" customHeight="1">
      <c r="A4" s="18" t="s">
        <v>28</v>
      </c>
      <c r="B4" s="390" t="s">
        <v>29</v>
      </c>
      <c r="C4" s="390"/>
      <c r="D4" s="390"/>
      <c r="E4" s="390"/>
      <c r="F4" s="390"/>
      <c r="G4" s="390"/>
      <c r="H4" s="390"/>
      <c r="I4" s="391"/>
    </row>
    <row r="5" spans="1:9" ht="36" customHeight="1">
      <c r="A5" s="18" t="s">
        <v>30</v>
      </c>
      <c r="B5" s="390" t="s">
        <v>31</v>
      </c>
      <c r="C5" s="390"/>
      <c r="D5" s="390"/>
      <c r="E5" s="390"/>
      <c r="F5" s="390"/>
      <c r="G5" s="390"/>
      <c r="H5" s="390"/>
      <c r="I5" s="391"/>
    </row>
    <row r="6" spans="1:9" ht="19.5" customHeight="1">
      <c r="A6" s="19" t="s">
        <v>32</v>
      </c>
      <c r="B6" s="392" t="s">
        <v>33</v>
      </c>
      <c r="C6" s="392"/>
      <c r="D6" s="392"/>
      <c r="E6" s="392"/>
      <c r="F6" s="392"/>
      <c r="G6" s="392"/>
      <c r="H6" s="392"/>
      <c r="I6" s="393"/>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78" t="s">
        <v>34</v>
      </c>
      <c r="B35" s="378"/>
      <c r="C35" s="378"/>
      <c r="D35" s="378"/>
      <c r="E35" s="378"/>
      <c r="F35" s="378"/>
      <c r="G35" s="378"/>
      <c r="H35" s="378"/>
      <c r="I35" s="378"/>
      <c r="J35" s="1"/>
    </row>
    <row r="36" spans="1:16" ht="15.75">
      <c r="A36" s="376" t="s">
        <v>35</v>
      </c>
      <c r="B36" s="376"/>
      <c r="C36" s="376"/>
      <c r="D36" s="376"/>
      <c r="E36" s="376"/>
      <c r="F36" s="376"/>
      <c r="G36" s="376"/>
      <c r="H36" s="376"/>
      <c r="I36" s="376"/>
      <c r="J36" s="1"/>
      <c r="K36" s="58">
        <f>'Name of Bidder'!C14</f>
        <v>0</v>
      </c>
      <c r="O36" s="55" t="e">
        <f>'Name of Bidder'!#REF!</f>
        <v>#REF!</v>
      </c>
    </row>
    <row r="37" spans="1:16" ht="18.75">
      <c r="A37" s="375" t="s">
        <v>36</v>
      </c>
      <c r="B37" s="375"/>
      <c r="C37" s="375"/>
      <c r="D37" s="375"/>
      <c r="E37" s="375"/>
      <c r="F37" s="375"/>
      <c r="G37" s="375"/>
      <c r="H37" s="375"/>
      <c r="I37" s="375"/>
      <c r="J37" s="1"/>
      <c r="K37" s="58">
        <f>'Name of Bidder'!C15</f>
        <v>0</v>
      </c>
      <c r="O37" s="55" t="e">
        <f>'Name of Bidder'!#REF!</f>
        <v>#REF!</v>
      </c>
    </row>
    <row r="38" spans="1:16" ht="36" customHeight="1">
      <c r="A38" s="379" t="s">
        <v>37</v>
      </c>
      <c r="B38" s="379"/>
      <c r="C38" s="379"/>
      <c r="D38" s="379"/>
      <c r="E38" s="379"/>
      <c r="F38" s="379"/>
      <c r="G38" s="379"/>
      <c r="H38" s="379"/>
      <c r="I38" s="379"/>
      <c r="J38" s="1"/>
      <c r="K38" s="58" t="e">
        <f>'Name of Bidder'!#REF!</f>
        <v>#REF!</v>
      </c>
      <c r="O38" s="55" t="e">
        <f>'Name of Bidder'!#REF!</f>
        <v>#REF!</v>
      </c>
    </row>
    <row r="39" spans="1:16" ht="18.75">
      <c r="A39" s="375" t="s">
        <v>38</v>
      </c>
      <c r="B39" s="375"/>
      <c r="C39" s="375"/>
      <c r="D39" s="375"/>
      <c r="E39" s="375"/>
      <c r="F39" s="375"/>
      <c r="G39" s="375"/>
      <c r="H39" s="375"/>
      <c r="I39" s="375"/>
      <c r="J39" s="1"/>
      <c r="K39" s="58" t="e">
        <f>'Name of Bidder'!#REF!</f>
        <v>#REF!</v>
      </c>
      <c r="O39" s="55" t="e">
        <f>'Name of Bidder'!#REF!</f>
        <v>#REF!</v>
      </c>
    </row>
    <row r="40" spans="1:16" ht="15.75">
      <c r="A40" s="376" t="s">
        <v>39</v>
      </c>
      <c r="B40" s="376"/>
      <c r="C40" s="376"/>
      <c r="D40" s="376"/>
      <c r="E40" s="376"/>
      <c r="F40" s="376"/>
      <c r="G40" s="376"/>
      <c r="H40" s="376"/>
      <c r="I40" s="376"/>
      <c r="J40" s="1"/>
    </row>
    <row r="41" spans="1:16" ht="18.75" customHeight="1">
      <c r="A41" s="377">
        <f>'Name of Bidder'!C9</f>
        <v>0</v>
      </c>
      <c r="B41" s="377"/>
      <c r="C41" s="377"/>
      <c r="D41" s="377"/>
      <c r="E41" s="377"/>
      <c r="F41" s="377"/>
      <c r="G41" s="377"/>
      <c r="H41" s="377"/>
      <c r="I41" s="377"/>
      <c r="J41" s="1"/>
      <c r="K41" s="59" t="e">
        <f>'Name of Bidder'!#REF!</f>
        <v>#REF!</v>
      </c>
      <c r="M41" s="55" t="s">
        <v>40</v>
      </c>
      <c r="P41" s="55" t="s">
        <v>41</v>
      </c>
    </row>
    <row r="42" spans="1:16" ht="15.75" hidden="1">
      <c r="A42" s="376" t="e">
        <f>IF(#REF! = "Individual Firm", " ", " and ")</f>
        <v>#REF!</v>
      </c>
      <c r="B42" s="376"/>
      <c r="C42" s="376"/>
      <c r="D42" s="376"/>
      <c r="E42" s="376"/>
      <c r="F42" s="376"/>
      <c r="G42" s="376"/>
      <c r="H42" s="376"/>
      <c r="I42" s="376"/>
      <c r="J42" s="1"/>
    </row>
    <row r="43" spans="1:16" ht="15.75" hidden="1">
      <c r="A43" s="376" t="e">
        <f xml:space="preserve"> IF(#REF!= "Individual Firm", "",#REF!)</f>
        <v>#REF!</v>
      </c>
      <c r="B43" s="376"/>
      <c r="C43" s="376"/>
      <c r="D43" s="376"/>
      <c r="E43" s="376"/>
      <c r="F43" s="376"/>
      <c r="G43" s="376"/>
      <c r="H43" s="376"/>
      <c r="I43" s="376"/>
      <c r="J43" s="1"/>
    </row>
    <row r="44" spans="1:16" ht="39.950000000000003" hidden="1" customHeight="1">
      <c r="A44" s="379" t="e">
        <f>IF(#REF!= "Sole Bidder", "", "having its Registered Office at "&amp;IF(#REF!=1,#REF!&amp;" "&amp;#REF!&amp;" "&amp;#REF!,IF(#REF!=2,#REF!&amp;" &amp; "&amp;#REF!&amp;" "&amp;#REF!&amp;" and " &amp;#REF!&amp;" &amp; "&amp;#REF!&amp;" "&amp;#REF! &amp;IF(#REF!=2," respectively",""))))</f>
        <v>#REF!</v>
      </c>
      <c r="B44" s="379"/>
      <c r="C44" s="379"/>
      <c r="D44" s="379"/>
      <c r="E44" s="379"/>
      <c r="F44" s="379"/>
      <c r="G44" s="379"/>
      <c r="H44" s="379"/>
      <c r="I44" s="379"/>
      <c r="J44" s="1"/>
    </row>
    <row r="45" spans="1:16" ht="15.75">
      <c r="A45" s="376" t="s">
        <v>42</v>
      </c>
      <c r="B45" s="376"/>
      <c r="C45" s="376"/>
      <c r="D45" s="376"/>
      <c r="E45" s="376"/>
      <c r="F45" s="376"/>
      <c r="G45" s="376"/>
      <c r="H45" s="376"/>
      <c r="I45" s="376"/>
      <c r="J45" s="1"/>
    </row>
    <row r="46" spans="1:16" ht="18.75">
      <c r="A46" s="375" t="s">
        <v>43</v>
      </c>
      <c r="B46" s="375"/>
      <c r="C46" s="375"/>
      <c r="D46" s="375"/>
      <c r="E46" s="375"/>
      <c r="F46" s="375"/>
      <c r="G46" s="375"/>
      <c r="H46" s="375"/>
      <c r="I46" s="375"/>
      <c r="J46" s="1"/>
    </row>
    <row r="47" spans="1:16" ht="18.75">
      <c r="A47" s="375" t="s">
        <v>44</v>
      </c>
      <c r="B47" s="375"/>
      <c r="C47" s="375"/>
      <c r="D47" s="375"/>
      <c r="E47" s="375"/>
      <c r="F47" s="375"/>
      <c r="G47" s="375"/>
      <c r="H47" s="375"/>
      <c r="I47" s="375"/>
      <c r="J47" s="1"/>
    </row>
    <row r="48" spans="1:16" ht="69" customHeight="1">
      <c r="A48" s="387" t="e">
        <f>"POWERGRID intends to award, under laid-down organisational procedures, contract(s) for " &amp;#REF!</f>
        <v>#REF!</v>
      </c>
      <c r="B48" s="387"/>
      <c r="C48" s="387"/>
      <c r="D48" s="387"/>
      <c r="E48" s="387"/>
      <c r="F48" s="387"/>
      <c r="G48" s="387"/>
      <c r="H48" s="387"/>
      <c r="I48" s="387"/>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80" t="s">
        <v>45</v>
      </c>
      <c r="B51" s="380"/>
      <c r="C51" s="380"/>
      <c r="D51" s="380"/>
      <c r="E51" s="384" t="s">
        <v>45</v>
      </c>
      <c r="F51" s="384"/>
      <c r="G51" s="384"/>
      <c r="H51" s="384"/>
      <c r="I51" s="384"/>
      <c r="J51" s="1"/>
    </row>
    <row r="52" spans="1:10" ht="33" customHeight="1">
      <c r="A52" s="382" t="s">
        <v>46</v>
      </c>
      <c r="B52" s="382"/>
      <c r="C52" s="382"/>
      <c r="D52" s="382"/>
      <c r="E52" s="383" t="s">
        <v>47</v>
      </c>
      <c r="F52" s="383"/>
      <c r="G52" s="383"/>
      <c r="H52" s="383"/>
      <c r="I52" s="383"/>
      <c r="J52" s="1"/>
    </row>
    <row r="53" spans="1:10" ht="22.5" customHeight="1">
      <c r="A53" s="56" t="s">
        <v>13</v>
      </c>
      <c r="B53" s="5"/>
      <c r="C53" s="5"/>
      <c r="D53" s="5"/>
      <c r="E53" s="5"/>
      <c r="F53" s="5"/>
      <c r="G53" s="5"/>
      <c r="H53" s="5"/>
      <c r="I53" s="57" t="s">
        <v>48</v>
      </c>
      <c r="J53" s="1"/>
    </row>
    <row r="54" spans="1:10" ht="100.5" customHeight="1">
      <c r="A54" s="388" t="e">
        <f>#REF! &amp; " Package and Specification Number " &amp;#REF! &amp; " POWERGRID values full compliance with all relevant laws and regulations, and the principles of economical use of resources, and of fairness and transparency in its relations with its Bidders/ Contractors."</f>
        <v>#REF!</v>
      </c>
      <c r="B54" s="388"/>
      <c r="C54" s="388"/>
      <c r="D54" s="388"/>
      <c r="E54" s="388"/>
      <c r="F54" s="388"/>
      <c r="G54" s="388"/>
      <c r="H54" s="388"/>
      <c r="I54" s="388"/>
    </row>
    <row r="55" spans="1:10" ht="8.1" customHeight="1">
      <c r="A55" s="7"/>
      <c r="B55" s="8"/>
      <c r="C55" s="8"/>
      <c r="D55" s="8"/>
      <c r="E55" s="8"/>
      <c r="F55" s="8"/>
      <c r="G55" s="8"/>
      <c r="H55" s="8"/>
      <c r="I55" s="8"/>
    </row>
    <row r="56" spans="1:10" ht="35.25" customHeight="1">
      <c r="A56" s="385" t="s">
        <v>49</v>
      </c>
      <c r="B56" s="385"/>
      <c r="C56" s="385"/>
      <c r="D56" s="385"/>
      <c r="E56" s="385"/>
      <c r="F56" s="385"/>
      <c r="G56" s="385"/>
      <c r="H56" s="385"/>
      <c r="I56" s="385"/>
    </row>
    <row r="57" spans="1:10" ht="8.1" customHeight="1">
      <c r="A57" s="9"/>
      <c r="B57" s="8"/>
      <c r="C57" s="8"/>
      <c r="D57" s="8"/>
      <c r="E57" s="8"/>
      <c r="F57" s="8"/>
      <c r="G57" s="8"/>
      <c r="H57" s="8"/>
      <c r="I57" s="8"/>
    </row>
    <row r="58" spans="1:10" ht="15.75">
      <c r="A58" s="386" t="s">
        <v>50</v>
      </c>
      <c r="B58" s="386"/>
      <c r="C58" s="386"/>
      <c r="D58" s="386"/>
      <c r="E58" s="386"/>
      <c r="F58" s="386"/>
      <c r="G58" s="386"/>
      <c r="H58" s="386"/>
      <c r="I58" s="386"/>
    </row>
    <row r="59" spans="1:10" ht="8.1" customHeight="1">
      <c r="A59" s="9"/>
      <c r="B59" s="8"/>
      <c r="C59" s="8"/>
      <c r="D59" s="8"/>
      <c r="E59" s="8"/>
      <c r="F59" s="8"/>
      <c r="G59" s="8"/>
      <c r="H59" s="8"/>
      <c r="I59" s="8"/>
    </row>
    <row r="60" spans="1:10" ht="16.5">
      <c r="A60" s="381" t="s">
        <v>51</v>
      </c>
      <c r="B60" s="381"/>
      <c r="C60" s="381"/>
      <c r="D60" s="381"/>
      <c r="E60" s="381"/>
      <c r="F60" s="381"/>
      <c r="G60" s="381"/>
      <c r="H60" s="381"/>
      <c r="I60" s="381"/>
    </row>
    <row r="61" spans="1:10" ht="8.1" customHeight="1">
      <c r="A61" s="10"/>
      <c r="B61" s="8"/>
      <c r="C61" s="8"/>
      <c r="D61" s="8"/>
      <c r="E61" s="8"/>
      <c r="F61" s="8"/>
      <c r="G61" s="8"/>
      <c r="H61" s="8"/>
      <c r="I61" s="8"/>
    </row>
    <row r="62" spans="1:10" ht="37.5" customHeight="1">
      <c r="A62" s="11" t="s">
        <v>52</v>
      </c>
      <c r="B62" s="380" t="s">
        <v>53</v>
      </c>
      <c r="C62" s="380"/>
      <c r="D62" s="380"/>
      <c r="E62" s="380"/>
      <c r="F62" s="380"/>
      <c r="G62" s="380"/>
      <c r="H62" s="380"/>
      <c r="I62" s="380"/>
    </row>
    <row r="63" spans="1:10" ht="8.1" customHeight="1">
      <c r="A63" s="9"/>
      <c r="B63" s="8"/>
      <c r="C63" s="8"/>
      <c r="D63" s="8"/>
      <c r="E63" s="8"/>
      <c r="F63" s="8"/>
      <c r="G63" s="8"/>
      <c r="H63" s="8"/>
      <c r="I63" s="8"/>
    </row>
    <row r="64" spans="1:10" ht="79.5" customHeight="1">
      <c r="A64" s="8"/>
      <c r="B64" s="11" t="s">
        <v>54</v>
      </c>
      <c r="C64" s="380" t="s">
        <v>55</v>
      </c>
      <c r="D64" s="380"/>
      <c r="E64" s="380"/>
      <c r="F64" s="380"/>
      <c r="G64" s="380"/>
      <c r="H64" s="380"/>
      <c r="I64" s="380"/>
    </row>
    <row r="65" spans="1:10" ht="8.1" customHeight="1">
      <c r="A65" s="8"/>
      <c r="B65" s="11"/>
      <c r="C65" s="4"/>
      <c r="D65" s="4"/>
      <c r="E65" s="4"/>
      <c r="F65" s="4"/>
      <c r="G65" s="4"/>
      <c r="H65" s="4"/>
      <c r="I65" s="4"/>
    </row>
    <row r="66" spans="1:10" ht="109.5" customHeight="1">
      <c r="A66" s="8"/>
      <c r="B66" s="11" t="s">
        <v>56</v>
      </c>
      <c r="C66" s="380" t="s">
        <v>57</v>
      </c>
      <c r="D66" s="380"/>
      <c r="E66" s="380"/>
      <c r="F66" s="380"/>
      <c r="G66" s="380"/>
      <c r="H66" s="380"/>
      <c r="I66" s="380"/>
    </row>
    <row r="67" spans="1:10" ht="8.1" customHeight="1">
      <c r="A67" s="8"/>
      <c r="B67" s="11"/>
      <c r="C67" s="73"/>
      <c r="D67" s="4"/>
      <c r="E67" s="4"/>
      <c r="F67" s="4"/>
      <c r="G67" s="4"/>
      <c r="H67" s="4"/>
      <c r="I67" s="4"/>
    </row>
    <row r="68" spans="1:10" ht="50.25" customHeight="1">
      <c r="A68" s="8"/>
      <c r="B68" s="11" t="s">
        <v>58</v>
      </c>
      <c r="C68" s="380" t="s">
        <v>59</v>
      </c>
      <c r="D68" s="380"/>
      <c r="E68" s="380"/>
      <c r="F68" s="380"/>
      <c r="G68" s="380"/>
      <c r="H68" s="380"/>
      <c r="I68" s="380"/>
    </row>
    <row r="69" spans="1:10" ht="15.75">
      <c r="A69" s="9"/>
      <c r="B69" s="8"/>
      <c r="C69" s="8"/>
      <c r="D69" s="8"/>
      <c r="E69" s="8"/>
      <c r="F69" s="8"/>
      <c r="G69" s="8"/>
      <c r="H69" s="8"/>
      <c r="I69" s="8"/>
    </row>
    <row r="70" spans="1:10" ht="87" customHeight="1">
      <c r="A70" s="11" t="s">
        <v>60</v>
      </c>
      <c r="B70" s="380" t="s">
        <v>61</v>
      </c>
      <c r="C70" s="380"/>
      <c r="D70" s="380"/>
      <c r="E70" s="380"/>
      <c r="F70" s="380"/>
      <c r="G70" s="380"/>
      <c r="H70" s="380"/>
      <c r="I70" s="380"/>
    </row>
    <row r="71" spans="1:10" ht="8.1" customHeight="1">
      <c r="A71" s="10"/>
      <c r="B71" s="8"/>
      <c r="C71" s="8"/>
      <c r="D71" s="8"/>
      <c r="E71" s="8"/>
      <c r="F71" s="8"/>
      <c r="G71" s="8"/>
      <c r="H71" s="8"/>
      <c r="I71" s="8"/>
    </row>
    <row r="72" spans="1:10" ht="16.5">
      <c r="A72" s="381" t="s">
        <v>62</v>
      </c>
      <c r="B72" s="381"/>
      <c r="C72" s="381"/>
      <c r="D72" s="381"/>
      <c r="E72" s="381"/>
      <c r="F72" s="381"/>
      <c r="G72" s="381"/>
      <c r="H72" s="381"/>
      <c r="I72" s="381"/>
    </row>
    <row r="73" spans="1:10" ht="16.5">
      <c r="A73" s="10"/>
      <c r="B73" s="8"/>
      <c r="C73" s="8"/>
      <c r="D73" s="8"/>
      <c r="E73" s="8"/>
      <c r="F73" s="8"/>
      <c r="G73" s="8"/>
      <c r="H73" s="8"/>
      <c r="I73" s="8"/>
    </row>
    <row r="74" spans="1:10" ht="49.5" customHeight="1">
      <c r="A74" s="11" t="s">
        <v>52</v>
      </c>
      <c r="B74" s="380" t="s">
        <v>63</v>
      </c>
      <c r="C74" s="380"/>
      <c r="D74" s="380"/>
      <c r="E74" s="380"/>
      <c r="F74" s="380"/>
      <c r="G74" s="380"/>
      <c r="H74" s="380"/>
      <c r="I74" s="380"/>
    </row>
    <row r="75" spans="1:10" ht="45" customHeight="1">
      <c r="A75" s="4"/>
      <c r="B75" s="5"/>
      <c r="C75" s="5"/>
      <c r="D75" s="5"/>
      <c r="E75" s="5"/>
      <c r="F75" s="4"/>
      <c r="G75" s="5"/>
      <c r="H75" s="5"/>
      <c r="I75" s="5"/>
      <c r="J75" s="1"/>
    </row>
    <row r="76" spans="1:10" ht="21" customHeight="1">
      <c r="A76" s="380" t="s">
        <v>45</v>
      </c>
      <c r="B76" s="380"/>
      <c r="C76" s="380"/>
      <c r="D76" s="380"/>
      <c r="E76" s="384" t="s">
        <v>45</v>
      </c>
      <c r="F76" s="384"/>
      <c r="G76" s="384"/>
      <c r="H76" s="384"/>
      <c r="I76" s="384"/>
      <c r="J76" s="1"/>
    </row>
    <row r="77" spans="1:10" ht="33" customHeight="1">
      <c r="A77" s="382" t="s">
        <v>46</v>
      </c>
      <c r="B77" s="382"/>
      <c r="C77" s="382"/>
      <c r="D77" s="382"/>
      <c r="E77" s="383" t="s">
        <v>47</v>
      </c>
      <c r="F77" s="383"/>
      <c r="G77" s="383"/>
      <c r="H77" s="383"/>
      <c r="I77" s="383"/>
      <c r="J77" s="1"/>
    </row>
    <row r="78" spans="1:10" ht="20.25" customHeight="1">
      <c r="A78" s="56" t="s">
        <v>13</v>
      </c>
      <c r="B78" s="5"/>
      <c r="C78" s="5"/>
      <c r="D78" s="5"/>
      <c r="E78" s="5"/>
      <c r="F78" s="5"/>
      <c r="G78" s="5"/>
      <c r="H78" s="5"/>
      <c r="I78" s="57" t="s">
        <v>64</v>
      </c>
      <c r="J78" s="1"/>
    </row>
    <row r="79" spans="1:10" ht="36" customHeight="1">
      <c r="A79" s="389" t="s">
        <v>65</v>
      </c>
      <c r="B79" s="389"/>
      <c r="C79" s="389"/>
      <c r="D79" s="389"/>
      <c r="E79" s="389"/>
      <c r="F79" s="389"/>
      <c r="G79" s="389"/>
      <c r="H79" s="389"/>
      <c r="I79" s="389"/>
      <c r="J79" s="1"/>
    </row>
    <row r="80" spans="1:10" ht="125.25" customHeight="1">
      <c r="A80" s="8"/>
      <c r="B80" s="11" t="s">
        <v>66</v>
      </c>
      <c r="C80" s="380" t="s">
        <v>67</v>
      </c>
      <c r="D80" s="380"/>
      <c r="E80" s="380"/>
      <c r="F80" s="380"/>
      <c r="G80" s="380"/>
      <c r="H80" s="380"/>
      <c r="I80" s="380"/>
    </row>
    <row r="81" spans="1:10" ht="9.9499999999999993" customHeight="1">
      <c r="A81" s="8"/>
      <c r="B81" s="12"/>
      <c r="C81" s="9"/>
      <c r="D81" s="9"/>
      <c r="E81" s="9"/>
      <c r="F81" s="9"/>
      <c r="G81" s="9"/>
      <c r="H81" s="9"/>
      <c r="I81" s="9"/>
    </row>
    <row r="82" spans="1:10" ht="112.5" customHeight="1">
      <c r="A82" s="8"/>
      <c r="B82" s="11" t="s">
        <v>56</v>
      </c>
      <c r="C82" s="380" t="s">
        <v>68</v>
      </c>
      <c r="D82" s="380"/>
      <c r="E82" s="380"/>
      <c r="F82" s="380"/>
      <c r="G82" s="380"/>
      <c r="H82" s="380"/>
      <c r="I82" s="380"/>
    </row>
    <row r="83" spans="1:10" ht="9.9499999999999993" customHeight="1">
      <c r="A83" s="8"/>
      <c r="B83" s="11"/>
      <c r="C83" s="13"/>
      <c r="D83" s="13"/>
      <c r="E83" s="13"/>
      <c r="F83" s="13"/>
      <c r="G83" s="13"/>
      <c r="H83" s="13"/>
      <c r="I83" s="13"/>
    </row>
    <row r="84" spans="1:10" ht="134.25" customHeight="1">
      <c r="A84" s="8"/>
      <c r="B84" s="11" t="s">
        <v>58</v>
      </c>
      <c r="C84" s="380" t="s">
        <v>69</v>
      </c>
      <c r="D84" s="380"/>
      <c r="E84" s="380"/>
      <c r="F84" s="380"/>
      <c r="G84" s="380"/>
      <c r="H84" s="380"/>
      <c r="I84" s="380"/>
    </row>
    <row r="85" spans="1:10" ht="9.9499999999999993" customHeight="1">
      <c r="A85" s="8"/>
      <c r="B85" s="11"/>
      <c r="C85" s="13"/>
      <c r="D85" s="13"/>
      <c r="E85" s="13"/>
      <c r="F85" s="13"/>
      <c r="G85" s="13"/>
      <c r="H85" s="13"/>
      <c r="I85" s="13"/>
    </row>
    <row r="86" spans="1:10" ht="94.5" customHeight="1">
      <c r="A86" s="8"/>
      <c r="B86" s="11" t="s">
        <v>70</v>
      </c>
      <c r="C86" s="380" t="s">
        <v>71</v>
      </c>
      <c r="D86" s="380"/>
      <c r="E86" s="380"/>
      <c r="F86" s="380"/>
      <c r="G86" s="380"/>
      <c r="H86" s="380"/>
      <c r="I86" s="380"/>
    </row>
    <row r="87" spans="1:10" ht="9.9499999999999993" customHeight="1">
      <c r="A87" s="8"/>
      <c r="B87" s="11"/>
      <c r="C87" s="13"/>
      <c r="D87" s="13"/>
      <c r="E87" s="13"/>
      <c r="F87" s="13"/>
      <c r="G87" s="13"/>
      <c r="H87" s="13"/>
      <c r="I87" s="13"/>
    </row>
    <row r="88" spans="1:10" ht="81.75" customHeight="1">
      <c r="A88" s="8"/>
      <c r="B88" s="11" t="s">
        <v>72</v>
      </c>
      <c r="C88" s="380" t="s">
        <v>73</v>
      </c>
      <c r="D88" s="380"/>
      <c r="E88" s="380"/>
      <c r="F88" s="380"/>
      <c r="G88" s="380"/>
      <c r="H88" s="380"/>
      <c r="I88" s="380"/>
    </row>
    <row r="89" spans="1:10" ht="9.9499999999999993" customHeight="1">
      <c r="A89" s="8"/>
      <c r="B89" s="11"/>
      <c r="C89" s="13"/>
      <c r="D89" s="13"/>
      <c r="E89" s="13"/>
      <c r="F89" s="13"/>
      <c r="G89" s="13"/>
      <c r="H89" s="13"/>
      <c r="I89" s="13"/>
    </row>
    <row r="90" spans="1:10" ht="72" customHeight="1">
      <c r="A90" s="8"/>
      <c r="B90" s="11" t="s">
        <v>74</v>
      </c>
      <c r="C90" s="380" t="s">
        <v>75</v>
      </c>
      <c r="D90" s="380"/>
      <c r="E90" s="380"/>
      <c r="F90" s="380"/>
      <c r="G90" s="380"/>
      <c r="H90" s="380"/>
      <c r="I90" s="380"/>
    </row>
    <row r="91" spans="1:10" ht="8.1" customHeight="1">
      <c r="A91" s="8"/>
      <c r="B91" s="13"/>
      <c r="C91" s="13"/>
      <c r="D91" s="13"/>
      <c r="E91" s="13"/>
      <c r="F91" s="13"/>
      <c r="G91" s="13"/>
      <c r="H91" s="13"/>
      <c r="I91" s="13"/>
    </row>
    <row r="92" spans="1:10" ht="53.25" customHeight="1">
      <c r="A92" s="11" t="s">
        <v>60</v>
      </c>
      <c r="B92" s="380" t="s">
        <v>76</v>
      </c>
      <c r="C92" s="380"/>
      <c r="D92" s="380"/>
      <c r="E92" s="380"/>
      <c r="F92" s="380"/>
      <c r="G92" s="380"/>
      <c r="H92" s="380"/>
      <c r="I92" s="380"/>
    </row>
    <row r="93" spans="1:10" ht="62.25" customHeight="1">
      <c r="A93" s="4"/>
      <c r="B93" s="5"/>
      <c r="C93" s="5"/>
      <c r="D93" s="5"/>
      <c r="E93" s="5"/>
      <c r="F93" s="4"/>
      <c r="G93" s="5"/>
      <c r="H93" s="5"/>
      <c r="I93" s="5"/>
      <c r="J93" s="1"/>
    </row>
    <row r="94" spans="1:10" ht="21" customHeight="1">
      <c r="A94" s="380" t="s">
        <v>45</v>
      </c>
      <c r="B94" s="380"/>
      <c r="C94" s="380"/>
      <c r="D94" s="380"/>
      <c r="E94" s="384" t="s">
        <v>45</v>
      </c>
      <c r="F94" s="384"/>
      <c r="G94" s="384"/>
      <c r="H94" s="384"/>
      <c r="I94" s="384"/>
      <c r="J94" s="1"/>
    </row>
    <row r="95" spans="1:10" ht="33" customHeight="1">
      <c r="A95" s="382" t="s">
        <v>46</v>
      </c>
      <c r="B95" s="382"/>
      <c r="C95" s="382"/>
      <c r="D95" s="382"/>
      <c r="E95" s="383" t="s">
        <v>47</v>
      </c>
      <c r="F95" s="383"/>
      <c r="G95" s="383"/>
      <c r="H95" s="383"/>
      <c r="I95" s="383"/>
      <c r="J95" s="1"/>
    </row>
    <row r="96" spans="1:10" ht="20.25" customHeight="1">
      <c r="A96" s="56" t="s">
        <v>13</v>
      </c>
      <c r="B96" s="5"/>
      <c r="C96" s="5"/>
      <c r="D96" s="5"/>
      <c r="E96" s="5"/>
      <c r="F96" s="5"/>
      <c r="G96" s="5"/>
      <c r="H96" s="5"/>
      <c r="I96" s="57" t="s">
        <v>77</v>
      </c>
      <c r="J96" s="1"/>
    </row>
    <row r="97" spans="1:10" ht="27.75" customHeight="1">
      <c r="A97" s="381" t="s">
        <v>78</v>
      </c>
      <c r="B97" s="381"/>
      <c r="C97" s="381"/>
      <c r="D97" s="381"/>
      <c r="E97" s="381"/>
      <c r="F97" s="381"/>
      <c r="G97" s="381"/>
      <c r="H97" s="381"/>
      <c r="I97" s="381"/>
    </row>
    <row r="98" spans="1:10" ht="21.75" customHeight="1">
      <c r="A98" s="9"/>
      <c r="B98" s="380"/>
      <c r="C98" s="380"/>
      <c r="D98" s="380"/>
      <c r="E98" s="380"/>
      <c r="F98" s="380"/>
      <c r="G98" s="380"/>
      <c r="H98" s="380"/>
      <c r="I98" s="380"/>
    </row>
    <row r="99" spans="1:10" ht="85.5" customHeight="1">
      <c r="A99" s="11" t="s">
        <v>52</v>
      </c>
      <c r="B99" s="380" t="s">
        <v>79</v>
      </c>
      <c r="C99" s="380"/>
      <c r="D99" s="380"/>
      <c r="E99" s="380"/>
      <c r="F99" s="380"/>
      <c r="G99" s="380"/>
      <c r="H99" s="380"/>
      <c r="I99" s="380"/>
    </row>
    <row r="100" spans="1:10" ht="15.75">
      <c r="A100" s="56"/>
      <c r="B100" s="5"/>
      <c r="C100" s="5"/>
      <c r="D100" s="5"/>
      <c r="E100" s="5"/>
      <c r="F100" s="5"/>
      <c r="G100" s="5"/>
      <c r="H100" s="5"/>
      <c r="I100" s="57"/>
      <c r="J100" s="1"/>
    </row>
    <row r="101" spans="1:10" ht="165.75" customHeight="1">
      <c r="A101" s="11" t="s">
        <v>60</v>
      </c>
      <c r="B101" s="380" t="s">
        <v>80</v>
      </c>
      <c r="C101" s="380"/>
      <c r="D101" s="380"/>
      <c r="E101" s="380"/>
      <c r="F101" s="380"/>
      <c r="G101" s="380"/>
      <c r="H101" s="380"/>
      <c r="I101" s="380"/>
    </row>
    <row r="102" spans="1:10" ht="18" customHeight="1">
      <c r="A102" s="11"/>
      <c r="B102" s="9"/>
      <c r="C102" s="9"/>
      <c r="D102" s="9"/>
      <c r="E102" s="9"/>
      <c r="F102" s="9"/>
      <c r="G102" s="9"/>
      <c r="H102" s="9"/>
      <c r="I102" s="9"/>
    </row>
    <row r="103" spans="1:10" ht="62.25" customHeight="1">
      <c r="A103" s="11" t="s">
        <v>81</v>
      </c>
      <c r="B103" s="380" t="s">
        <v>82</v>
      </c>
      <c r="C103" s="380"/>
      <c r="D103" s="380"/>
      <c r="E103" s="380"/>
      <c r="F103" s="380"/>
      <c r="G103" s="380"/>
      <c r="H103" s="380"/>
      <c r="I103" s="380"/>
    </row>
    <row r="104" spans="1:10" ht="15" customHeight="1">
      <c r="A104" s="9"/>
      <c r="B104" s="8"/>
      <c r="C104" s="8"/>
      <c r="D104" s="8"/>
      <c r="E104" s="8"/>
      <c r="F104" s="8"/>
      <c r="G104" s="8"/>
      <c r="H104" s="8"/>
      <c r="I104" s="8"/>
    </row>
    <row r="105" spans="1:10" ht="29.25" customHeight="1">
      <c r="A105" s="381" t="s">
        <v>83</v>
      </c>
      <c r="B105" s="381"/>
      <c r="C105" s="381"/>
      <c r="D105" s="381"/>
      <c r="E105" s="381"/>
      <c r="F105" s="381"/>
      <c r="G105" s="381"/>
      <c r="H105" s="381"/>
      <c r="I105" s="381"/>
    </row>
    <row r="106" spans="1:10" ht="29.25" customHeight="1">
      <c r="A106" s="10"/>
      <c r="B106" s="8"/>
      <c r="C106" s="8"/>
      <c r="D106" s="8"/>
      <c r="E106" s="8"/>
      <c r="F106" s="8"/>
      <c r="G106" s="8"/>
      <c r="H106" s="8"/>
      <c r="I106" s="8"/>
    </row>
    <row r="107" spans="1:10" ht="54.75" customHeight="1">
      <c r="A107" s="11" t="s">
        <v>52</v>
      </c>
      <c r="B107" s="385" t="s">
        <v>84</v>
      </c>
      <c r="C107" s="385"/>
      <c r="D107" s="385"/>
      <c r="E107" s="385"/>
      <c r="F107" s="385"/>
      <c r="G107" s="385"/>
      <c r="H107" s="385"/>
      <c r="I107" s="385"/>
    </row>
    <row r="108" spans="1:10" ht="15" customHeight="1">
      <c r="A108" s="11"/>
      <c r="B108" s="8"/>
      <c r="C108" s="8"/>
      <c r="D108" s="8"/>
      <c r="E108" s="8"/>
      <c r="F108" s="8"/>
      <c r="G108" s="8"/>
      <c r="H108" s="8"/>
      <c r="I108" s="8"/>
    </row>
    <row r="109" spans="1:10" ht="66.75" customHeight="1">
      <c r="A109" s="11" t="s">
        <v>60</v>
      </c>
      <c r="B109" s="385" t="s">
        <v>85</v>
      </c>
      <c r="C109" s="385"/>
      <c r="D109" s="385"/>
      <c r="E109" s="385"/>
      <c r="F109" s="385"/>
      <c r="G109" s="385"/>
      <c r="H109" s="385"/>
      <c r="I109" s="385"/>
    </row>
    <row r="110" spans="1:10" ht="15" customHeight="1">
      <c r="A110" s="9"/>
      <c r="B110" s="8"/>
      <c r="C110" s="8"/>
      <c r="D110" s="8"/>
      <c r="E110" s="8"/>
      <c r="F110" s="8"/>
      <c r="G110" s="8"/>
      <c r="H110" s="8"/>
      <c r="I110" s="8"/>
    </row>
    <row r="111" spans="1:10" ht="25.5" customHeight="1">
      <c r="A111" s="381" t="s">
        <v>86</v>
      </c>
      <c r="B111" s="381"/>
      <c r="C111" s="381"/>
      <c r="D111" s="381"/>
      <c r="E111" s="381"/>
      <c r="F111" s="381"/>
      <c r="G111" s="381"/>
      <c r="H111" s="381"/>
      <c r="I111" s="381"/>
    </row>
    <row r="112" spans="1:10" ht="22.5" customHeight="1">
      <c r="A112" s="10"/>
      <c r="B112" s="8"/>
      <c r="C112" s="8"/>
      <c r="D112" s="8"/>
      <c r="E112" s="8"/>
      <c r="F112" s="8"/>
      <c r="G112" s="8"/>
      <c r="H112" s="8"/>
      <c r="I112" s="8"/>
    </row>
    <row r="113" spans="1:10" ht="58.5" customHeight="1">
      <c r="A113" s="11" t="s">
        <v>52</v>
      </c>
      <c r="B113" s="385" t="s">
        <v>87</v>
      </c>
      <c r="C113" s="385"/>
      <c r="D113" s="385"/>
      <c r="E113" s="385"/>
      <c r="F113" s="385"/>
      <c r="G113" s="385"/>
      <c r="H113" s="385"/>
      <c r="I113" s="385"/>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80" t="s">
        <v>45</v>
      </c>
      <c r="B116" s="380"/>
      <c r="C116" s="380"/>
      <c r="D116" s="380"/>
      <c r="E116" s="384" t="s">
        <v>45</v>
      </c>
      <c r="F116" s="384"/>
      <c r="G116" s="384"/>
      <c r="H116" s="384"/>
      <c r="I116" s="384"/>
      <c r="J116" s="1"/>
    </row>
    <row r="117" spans="1:10" ht="33" customHeight="1">
      <c r="A117" s="382" t="s">
        <v>46</v>
      </c>
      <c r="B117" s="382"/>
      <c r="C117" s="382"/>
      <c r="D117" s="382"/>
      <c r="E117" s="383" t="s">
        <v>47</v>
      </c>
      <c r="F117" s="383"/>
      <c r="G117" s="383"/>
      <c r="H117" s="383"/>
      <c r="I117" s="383"/>
      <c r="J117" s="1"/>
    </row>
    <row r="118" spans="1:10" ht="19.5" customHeight="1">
      <c r="A118" s="56" t="s">
        <v>13</v>
      </c>
      <c r="B118" s="5"/>
      <c r="C118" s="5"/>
      <c r="D118" s="5"/>
      <c r="E118" s="5"/>
      <c r="F118" s="5"/>
      <c r="G118" s="5"/>
      <c r="H118" s="5"/>
      <c r="I118" s="57" t="s">
        <v>88</v>
      </c>
    </row>
    <row r="119" spans="1:10" ht="60.75" customHeight="1">
      <c r="A119" s="11" t="s">
        <v>60</v>
      </c>
      <c r="B119" s="385" t="s">
        <v>89</v>
      </c>
      <c r="C119" s="385"/>
      <c r="D119" s="385"/>
      <c r="E119" s="385"/>
      <c r="F119" s="385"/>
      <c r="G119" s="385"/>
      <c r="H119" s="385"/>
      <c r="I119" s="385"/>
    </row>
    <row r="120" spans="1:10" ht="15.95" customHeight="1">
      <c r="A120" s="9"/>
      <c r="B120" s="8"/>
      <c r="C120" s="8"/>
      <c r="D120" s="8"/>
      <c r="E120" s="8"/>
      <c r="F120" s="8"/>
      <c r="G120" s="8"/>
      <c r="H120" s="8"/>
      <c r="I120" s="8"/>
    </row>
    <row r="121" spans="1:10" ht="26.25" customHeight="1">
      <c r="A121" s="381" t="s">
        <v>90</v>
      </c>
      <c r="B121" s="381"/>
      <c r="C121" s="381"/>
      <c r="D121" s="381"/>
      <c r="E121" s="381"/>
      <c r="F121" s="381"/>
      <c r="G121" s="381"/>
      <c r="H121" s="381"/>
      <c r="I121" s="381"/>
    </row>
    <row r="122" spans="1:10" ht="24.75" customHeight="1">
      <c r="A122" s="9"/>
      <c r="B122" s="8"/>
      <c r="C122" s="8"/>
      <c r="D122" s="8"/>
      <c r="E122" s="8"/>
      <c r="F122" s="8"/>
      <c r="G122" s="8"/>
      <c r="H122" s="8"/>
      <c r="I122" s="8"/>
    </row>
    <row r="123" spans="1:10" ht="39.75" customHeight="1">
      <c r="A123" s="11" t="s">
        <v>52</v>
      </c>
      <c r="B123" s="385" t="s">
        <v>91</v>
      </c>
      <c r="C123" s="385"/>
      <c r="D123" s="385"/>
      <c r="E123" s="385"/>
      <c r="F123" s="385"/>
      <c r="G123" s="385"/>
      <c r="H123" s="385"/>
      <c r="I123" s="385"/>
    </row>
    <row r="124" spans="1:10" ht="25.5" customHeight="1">
      <c r="A124" s="8"/>
      <c r="B124" s="8"/>
      <c r="C124" s="8"/>
      <c r="D124" s="8"/>
      <c r="E124" s="8"/>
      <c r="F124" s="8"/>
      <c r="G124" s="8"/>
      <c r="H124" s="8"/>
      <c r="I124" s="8"/>
      <c r="J124" s="1"/>
    </row>
    <row r="125" spans="1:10" ht="43.5" customHeight="1">
      <c r="A125" s="11" t="s">
        <v>60</v>
      </c>
      <c r="B125" s="385" t="s">
        <v>92</v>
      </c>
      <c r="C125" s="385"/>
      <c r="D125" s="385"/>
      <c r="E125" s="385"/>
      <c r="F125" s="385"/>
      <c r="G125" s="385"/>
      <c r="H125" s="385"/>
      <c r="I125" s="385"/>
    </row>
    <row r="126" spans="1:10" ht="21.75" customHeight="1">
      <c r="A126" s="10"/>
      <c r="B126" s="8"/>
      <c r="C126" s="8"/>
      <c r="D126" s="8"/>
      <c r="E126" s="8"/>
      <c r="F126" s="8"/>
      <c r="G126" s="8"/>
      <c r="H126" s="8"/>
      <c r="I126" s="8"/>
    </row>
    <row r="127" spans="1:10" ht="25.5" customHeight="1">
      <c r="A127" s="381" t="s">
        <v>93</v>
      </c>
      <c r="B127" s="381"/>
      <c r="C127" s="381"/>
      <c r="D127" s="381"/>
      <c r="E127" s="381"/>
      <c r="F127" s="381"/>
      <c r="G127" s="381"/>
      <c r="H127" s="381"/>
      <c r="I127" s="381"/>
    </row>
    <row r="128" spans="1:10" ht="23.25" customHeight="1">
      <c r="A128" s="9"/>
      <c r="B128" s="8"/>
      <c r="C128" s="8"/>
      <c r="D128" s="8"/>
      <c r="E128" s="8"/>
      <c r="F128" s="8"/>
      <c r="G128" s="8"/>
      <c r="H128" s="8"/>
      <c r="I128" s="8"/>
    </row>
    <row r="129" spans="1:10" ht="88.5" customHeight="1">
      <c r="A129" s="385" t="s">
        <v>94</v>
      </c>
      <c r="B129" s="385"/>
      <c r="C129" s="385"/>
      <c r="D129" s="385"/>
      <c r="E129" s="385"/>
      <c r="F129" s="385"/>
      <c r="G129" s="385"/>
      <c r="H129" s="385"/>
      <c r="I129" s="385"/>
    </row>
    <row r="130" spans="1:10" ht="26.25" customHeight="1">
      <c r="A130" s="8"/>
      <c r="B130" s="8"/>
      <c r="C130" s="8"/>
      <c r="D130" s="8"/>
      <c r="E130" s="8"/>
      <c r="F130" s="8"/>
      <c r="G130" s="8"/>
      <c r="H130" s="8"/>
      <c r="I130" s="8"/>
    </row>
    <row r="131" spans="1:10" ht="21.75" customHeight="1">
      <c r="A131" s="381" t="s">
        <v>95</v>
      </c>
      <c r="B131" s="381"/>
      <c r="C131" s="381"/>
      <c r="D131" s="381"/>
      <c r="E131" s="381"/>
      <c r="F131" s="381"/>
      <c r="G131" s="381"/>
      <c r="H131" s="381"/>
      <c r="I131" s="381"/>
    </row>
    <row r="132" spans="1:10" ht="25.5" customHeight="1">
      <c r="A132" s="10"/>
      <c r="B132" s="8"/>
      <c r="C132" s="8"/>
      <c r="D132" s="8"/>
      <c r="E132" s="8"/>
      <c r="F132" s="8"/>
      <c r="G132" s="8"/>
      <c r="H132" s="8"/>
      <c r="I132" s="8"/>
    </row>
    <row r="133" spans="1:10" ht="69" customHeight="1">
      <c r="A133" s="11" t="s">
        <v>52</v>
      </c>
      <c r="B133" s="385" t="s">
        <v>96</v>
      </c>
      <c r="C133" s="385"/>
      <c r="D133" s="385"/>
      <c r="E133" s="385"/>
      <c r="F133" s="385"/>
      <c r="G133" s="385"/>
      <c r="H133" s="385"/>
      <c r="I133" s="385"/>
    </row>
    <row r="134" spans="1:10" ht="21" customHeight="1">
      <c r="A134" s="11"/>
      <c r="B134" s="385"/>
      <c r="C134" s="385"/>
      <c r="D134" s="385"/>
      <c r="E134" s="385"/>
      <c r="F134" s="385"/>
      <c r="G134" s="385"/>
      <c r="H134" s="385"/>
      <c r="I134" s="385"/>
    </row>
    <row r="135" spans="1:10" ht="191.25" customHeight="1">
      <c r="A135" s="11" t="s">
        <v>60</v>
      </c>
      <c r="B135" s="385" t="s">
        <v>97</v>
      </c>
      <c r="C135" s="385"/>
      <c r="D135" s="385"/>
      <c r="E135" s="385"/>
      <c r="F135" s="385"/>
      <c r="G135" s="385"/>
      <c r="H135" s="385"/>
      <c r="I135" s="385"/>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80" t="s">
        <v>45</v>
      </c>
      <c r="B138" s="380"/>
      <c r="C138" s="380"/>
      <c r="D138" s="380"/>
      <c r="E138" s="384" t="s">
        <v>45</v>
      </c>
      <c r="F138" s="384"/>
      <c r="G138" s="384"/>
      <c r="H138" s="384"/>
      <c r="I138" s="384"/>
      <c r="J138" s="1"/>
    </row>
    <row r="139" spans="1:10" ht="37.5" customHeight="1">
      <c r="A139" s="382" t="s">
        <v>46</v>
      </c>
      <c r="B139" s="382"/>
      <c r="C139" s="382"/>
      <c r="D139" s="382"/>
      <c r="E139" s="383" t="s">
        <v>47</v>
      </c>
      <c r="F139" s="383"/>
      <c r="G139" s="383"/>
      <c r="H139" s="383"/>
      <c r="I139" s="383"/>
      <c r="J139" s="1"/>
    </row>
    <row r="140" spans="1:10" ht="20.25" customHeight="1">
      <c r="A140" s="56" t="s">
        <v>13</v>
      </c>
      <c r="B140" s="5"/>
      <c r="C140" s="5"/>
      <c r="D140" s="5"/>
      <c r="E140" s="5"/>
      <c r="F140" s="5"/>
      <c r="G140" s="5"/>
      <c r="H140" s="5"/>
      <c r="I140" s="57" t="s">
        <v>98</v>
      </c>
      <c r="J140" s="1"/>
    </row>
    <row r="141" spans="1:10" ht="70.5" customHeight="1">
      <c r="A141" s="11" t="s">
        <v>81</v>
      </c>
      <c r="B141" s="385" t="s">
        <v>99</v>
      </c>
      <c r="C141" s="385"/>
      <c r="D141" s="385"/>
      <c r="E141" s="385"/>
      <c r="F141" s="385"/>
      <c r="G141" s="385"/>
      <c r="H141" s="385"/>
      <c r="I141" s="385"/>
    </row>
    <row r="142" spans="1:10" ht="31.5" customHeight="1">
      <c r="A142" s="11"/>
      <c r="B142" s="385"/>
      <c r="C142" s="385"/>
      <c r="D142" s="385"/>
      <c r="E142" s="385"/>
      <c r="F142" s="385"/>
      <c r="G142" s="385"/>
      <c r="H142" s="385"/>
      <c r="I142" s="385"/>
    </row>
    <row r="143" spans="1:10" ht="141.75" customHeight="1">
      <c r="A143" s="11" t="s">
        <v>100</v>
      </c>
      <c r="B143" s="385" t="s">
        <v>101</v>
      </c>
      <c r="C143" s="385"/>
      <c r="D143" s="385"/>
      <c r="E143" s="385"/>
      <c r="F143" s="385"/>
      <c r="G143" s="385"/>
      <c r="H143" s="385"/>
      <c r="I143" s="385"/>
    </row>
    <row r="144" spans="1:10" ht="22.5" customHeight="1">
      <c r="A144" s="9"/>
      <c r="B144" s="385"/>
      <c r="C144" s="385"/>
      <c r="D144" s="385"/>
      <c r="E144" s="385"/>
      <c r="F144" s="385"/>
      <c r="G144" s="385"/>
      <c r="H144" s="385"/>
      <c r="I144" s="385"/>
    </row>
    <row r="145" spans="1:10" ht="74.25" customHeight="1">
      <c r="A145" s="11" t="s">
        <v>102</v>
      </c>
      <c r="B145" s="385" t="s">
        <v>103</v>
      </c>
      <c r="C145" s="385"/>
      <c r="D145" s="385"/>
      <c r="E145" s="385"/>
      <c r="F145" s="385"/>
      <c r="G145" s="385"/>
      <c r="H145" s="385"/>
      <c r="I145" s="385"/>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104</v>
      </c>
      <c r="B148" s="385" t="s">
        <v>105</v>
      </c>
      <c r="C148" s="385"/>
      <c r="D148" s="385"/>
      <c r="E148" s="385"/>
      <c r="F148" s="385"/>
      <c r="G148" s="385"/>
      <c r="H148" s="385"/>
      <c r="I148" s="385"/>
    </row>
    <row r="149" spans="1:10" ht="15.95" customHeight="1">
      <c r="A149" s="11"/>
      <c r="B149" s="385"/>
      <c r="C149" s="385"/>
      <c r="D149" s="385"/>
      <c r="E149" s="385"/>
      <c r="F149" s="385"/>
      <c r="G149" s="385"/>
      <c r="H149" s="385"/>
      <c r="I149" s="385"/>
    </row>
    <row r="150" spans="1:10" ht="90" customHeight="1">
      <c r="A150" s="11" t="s">
        <v>106</v>
      </c>
      <c r="B150" s="385" t="s">
        <v>107</v>
      </c>
      <c r="C150" s="385"/>
      <c r="D150" s="385"/>
      <c r="E150" s="385"/>
      <c r="F150" s="385"/>
      <c r="G150" s="385"/>
      <c r="H150" s="385"/>
      <c r="I150" s="385"/>
    </row>
    <row r="151" spans="1:10" ht="15.95" customHeight="1">
      <c r="A151" s="11"/>
      <c r="B151" s="8"/>
      <c r="C151" s="8"/>
      <c r="D151" s="8"/>
      <c r="E151" s="8"/>
      <c r="F151" s="8"/>
      <c r="G151" s="8"/>
      <c r="H151" s="8"/>
      <c r="I151" s="8"/>
    </row>
    <row r="152" spans="1:10" ht="111.75" customHeight="1">
      <c r="A152" s="11" t="s">
        <v>108</v>
      </c>
      <c r="B152" s="385" t="s">
        <v>109</v>
      </c>
      <c r="C152" s="385"/>
      <c r="D152" s="385"/>
      <c r="E152" s="385"/>
      <c r="F152" s="385"/>
      <c r="G152" s="385"/>
      <c r="H152" s="385"/>
      <c r="I152" s="385"/>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80" t="s">
        <v>45</v>
      </c>
      <c r="B155" s="380"/>
      <c r="C155" s="380"/>
      <c r="D155" s="380"/>
      <c r="E155" s="384" t="s">
        <v>45</v>
      </c>
      <c r="F155" s="384"/>
      <c r="G155" s="384"/>
      <c r="H155" s="384"/>
      <c r="I155" s="384"/>
      <c r="J155" s="1"/>
    </row>
    <row r="156" spans="1:10" ht="33" customHeight="1">
      <c r="A156" s="382" t="s">
        <v>46</v>
      </c>
      <c r="B156" s="382"/>
      <c r="C156" s="382"/>
      <c r="D156" s="382"/>
      <c r="E156" s="383" t="s">
        <v>47</v>
      </c>
      <c r="F156" s="383"/>
      <c r="G156" s="383"/>
      <c r="H156" s="383"/>
      <c r="I156" s="383"/>
      <c r="J156" s="1"/>
    </row>
    <row r="157" spans="1:10" ht="27" customHeight="1">
      <c r="A157" s="56" t="s">
        <v>13</v>
      </c>
      <c r="B157" s="5"/>
      <c r="C157" s="5"/>
      <c r="D157" s="5"/>
      <c r="E157" s="5"/>
      <c r="F157" s="5"/>
      <c r="G157" s="5"/>
      <c r="H157" s="5"/>
      <c r="I157" s="57" t="s">
        <v>110</v>
      </c>
      <c r="J157" s="1"/>
    </row>
    <row r="158" spans="1:10" ht="21" customHeight="1">
      <c r="A158" s="11" t="s">
        <v>111</v>
      </c>
      <c r="B158" s="385" t="s">
        <v>112</v>
      </c>
      <c r="C158" s="385"/>
      <c r="D158" s="385"/>
      <c r="E158" s="385"/>
      <c r="F158" s="385"/>
      <c r="G158" s="385"/>
      <c r="H158" s="385"/>
      <c r="I158" s="385"/>
    </row>
    <row r="159" spans="1:10" ht="30" customHeight="1">
      <c r="A159" s="11"/>
      <c r="B159" s="8"/>
      <c r="C159" s="8"/>
      <c r="D159" s="8"/>
      <c r="E159" s="8"/>
      <c r="F159" s="8"/>
      <c r="G159" s="8"/>
      <c r="H159" s="8"/>
      <c r="I159" s="8"/>
    </row>
    <row r="160" spans="1:10" ht="74.25" customHeight="1">
      <c r="A160" s="11" t="s">
        <v>113</v>
      </c>
      <c r="B160" s="385" t="s">
        <v>114</v>
      </c>
      <c r="C160" s="385"/>
      <c r="D160" s="385"/>
      <c r="E160" s="385"/>
      <c r="F160" s="385"/>
      <c r="G160" s="385"/>
      <c r="H160" s="385"/>
      <c r="I160" s="385"/>
    </row>
    <row r="161" spans="1:10" ht="13.5" customHeight="1">
      <c r="A161" s="9"/>
      <c r="B161" s="8"/>
      <c r="C161" s="8"/>
      <c r="D161" s="8"/>
      <c r="E161" s="8"/>
      <c r="F161" s="8"/>
      <c r="G161" s="8"/>
      <c r="H161" s="8"/>
      <c r="I161" s="8"/>
    </row>
    <row r="162" spans="1:10" ht="16.5">
      <c r="A162" s="381" t="s">
        <v>115</v>
      </c>
      <c r="B162" s="381"/>
      <c r="C162" s="381"/>
      <c r="D162" s="381"/>
      <c r="E162" s="381"/>
      <c r="F162" s="381"/>
      <c r="G162" s="381"/>
      <c r="H162" s="381"/>
      <c r="I162" s="381"/>
    </row>
    <row r="163" spans="1:10" ht="30" customHeight="1">
      <c r="A163" s="9"/>
      <c r="B163" s="8"/>
      <c r="C163" s="8"/>
      <c r="D163" s="8"/>
      <c r="E163" s="8"/>
      <c r="F163" s="8"/>
      <c r="G163" s="8"/>
      <c r="H163" s="8"/>
      <c r="I163" s="8"/>
    </row>
    <row r="164" spans="1:10" ht="60" customHeight="1">
      <c r="A164" s="385" t="s">
        <v>116</v>
      </c>
      <c r="B164" s="385"/>
      <c r="C164" s="385"/>
      <c r="D164" s="385"/>
      <c r="E164" s="385"/>
      <c r="F164" s="385"/>
      <c r="G164" s="385"/>
      <c r="H164" s="385"/>
      <c r="I164" s="385"/>
    </row>
    <row r="165" spans="1:10" ht="11.25" customHeight="1">
      <c r="A165" s="10"/>
      <c r="B165" s="8"/>
      <c r="C165" s="8"/>
      <c r="D165" s="8"/>
      <c r="E165" s="8"/>
      <c r="F165" s="8"/>
      <c r="G165" s="8"/>
      <c r="H165" s="8"/>
      <c r="I165" s="8"/>
    </row>
    <row r="166" spans="1:10" ht="27.75" customHeight="1">
      <c r="A166" s="381" t="s">
        <v>117</v>
      </c>
      <c r="B166" s="381"/>
      <c r="C166" s="381"/>
      <c r="D166" s="381"/>
      <c r="E166" s="381"/>
      <c r="F166" s="381"/>
      <c r="G166" s="381"/>
      <c r="H166" s="381"/>
      <c r="I166" s="381"/>
    </row>
    <row r="167" spans="1:10" ht="12.75" customHeight="1">
      <c r="A167" s="9"/>
      <c r="B167" s="8"/>
      <c r="C167" s="8"/>
      <c r="D167" s="8"/>
      <c r="E167" s="8"/>
      <c r="F167" s="8"/>
      <c r="G167" s="8"/>
      <c r="H167" s="8"/>
      <c r="I167" s="8"/>
    </row>
    <row r="168" spans="1:10" ht="74.25" customHeight="1">
      <c r="A168" s="11" t="s">
        <v>52</v>
      </c>
      <c r="B168" s="385" t="s">
        <v>118</v>
      </c>
      <c r="C168" s="385"/>
      <c r="D168" s="385"/>
      <c r="E168" s="385"/>
      <c r="F168" s="385"/>
      <c r="G168" s="385"/>
      <c r="H168" s="385"/>
      <c r="I168" s="385"/>
    </row>
    <row r="169" spans="1:10" ht="23.25" customHeight="1">
      <c r="A169" s="12"/>
      <c r="B169" s="8"/>
      <c r="C169" s="8"/>
      <c r="D169" s="8"/>
      <c r="E169" s="8"/>
      <c r="F169" s="8"/>
      <c r="G169" s="8"/>
      <c r="H169" s="8"/>
      <c r="I169" s="8"/>
    </row>
    <row r="170" spans="1:10" ht="36" customHeight="1">
      <c r="A170" s="11" t="s">
        <v>60</v>
      </c>
      <c r="B170" s="385" t="s">
        <v>119</v>
      </c>
      <c r="C170" s="385"/>
      <c r="D170" s="385"/>
      <c r="E170" s="385"/>
      <c r="F170" s="385"/>
      <c r="G170" s="385"/>
      <c r="H170" s="385"/>
      <c r="I170" s="385"/>
    </row>
    <row r="171" spans="1:10" ht="21" customHeight="1">
      <c r="J171" s="1"/>
    </row>
    <row r="172" spans="1:10">
      <c r="J172" s="1"/>
    </row>
    <row r="173" spans="1:10" ht="52.5" customHeight="1">
      <c r="A173" s="11" t="s">
        <v>81</v>
      </c>
      <c r="B173" s="385" t="s">
        <v>120</v>
      </c>
      <c r="C173" s="385"/>
      <c r="D173" s="385"/>
      <c r="E173" s="385"/>
      <c r="F173" s="385"/>
      <c r="G173" s="385"/>
      <c r="H173" s="385"/>
      <c r="I173" s="385"/>
    </row>
    <row r="174" spans="1:10" ht="20.25" customHeight="1">
      <c r="A174" s="11"/>
      <c r="B174" s="8"/>
      <c r="C174" s="8"/>
      <c r="D174" s="8"/>
      <c r="E174" s="8"/>
      <c r="F174" s="8"/>
      <c r="G174" s="8"/>
      <c r="H174" s="8"/>
      <c r="I174" s="8"/>
    </row>
    <row r="175" spans="1:10" ht="40.5" customHeight="1">
      <c r="A175" s="11" t="s">
        <v>100</v>
      </c>
      <c r="B175" s="385" t="s">
        <v>121</v>
      </c>
      <c r="C175" s="385"/>
      <c r="D175" s="385"/>
      <c r="E175" s="385"/>
      <c r="F175" s="385"/>
      <c r="G175" s="385"/>
      <c r="H175" s="385"/>
      <c r="I175" s="385"/>
    </row>
    <row r="176" spans="1:10" ht="21.75" customHeight="1">
      <c r="A176" s="11"/>
      <c r="B176" s="8"/>
      <c r="C176" s="8"/>
      <c r="D176" s="8"/>
      <c r="E176" s="8"/>
      <c r="F176" s="8"/>
      <c r="G176" s="8"/>
      <c r="H176" s="8"/>
      <c r="I176" s="8"/>
    </row>
    <row r="177" spans="1:10" ht="88.5" customHeight="1">
      <c r="A177" s="11" t="s">
        <v>102</v>
      </c>
      <c r="B177" s="385" t="s">
        <v>122</v>
      </c>
      <c r="C177" s="385"/>
      <c r="D177" s="385"/>
      <c r="E177" s="385"/>
      <c r="F177" s="385"/>
      <c r="G177" s="385"/>
      <c r="H177" s="385"/>
      <c r="I177" s="385"/>
    </row>
    <row r="178" spans="1:10" ht="18" customHeight="1">
      <c r="A178" s="11"/>
      <c r="B178" s="8"/>
      <c r="C178" s="8"/>
      <c r="D178" s="8"/>
      <c r="E178" s="8"/>
      <c r="F178" s="8"/>
      <c r="G178" s="8"/>
      <c r="H178" s="8"/>
      <c r="I178" s="8"/>
    </row>
    <row r="179" spans="1:10" ht="63" customHeight="1">
      <c r="A179" s="11" t="s">
        <v>123</v>
      </c>
      <c r="B179" s="385" t="s">
        <v>124</v>
      </c>
      <c r="C179" s="385"/>
      <c r="D179" s="385"/>
      <c r="E179" s="385"/>
      <c r="F179" s="385"/>
      <c r="G179" s="385"/>
      <c r="H179" s="385"/>
      <c r="I179" s="385"/>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80" t="s">
        <v>45</v>
      </c>
      <c r="B182" s="380"/>
      <c r="C182" s="380"/>
      <c r="D182" s="380"/>
      <c r="E182" s="384" t="s">
        <v>45</v>
      </c>
      <c r="F182" s="384"/>
      <c r="G182" s="384"/>
      <c r="H182" s="384"/>
      <c r="I182" s="384"/>
      <c r="J182" s="1"/>
    </row>
    <row r="183" spans="1:10" ht="33" customHeight="1">
      <c r="A183" s="382" t="s">
        <v>46</v>
      </c>
      <c r="B183" s="382"/>
      <c r="C183" s="382"/>
      <c r="D183" s="382"/>
      <c r="E183" s="383" t="s">
        <v>47</v>
      </c>
      <c r="F183" s="383"/>
      <c r="G183" s="383"/>
      <c r="H183" s="383"/>
      <c r="I183" s="383"/>
      <c r="J183" s="1"/>
    </row>
    <row r="184" spans="1:10" ht="22.5" customHeight="1">
      <c r="A184" s="56" t="s">
        <v>13</v>
      </c>
      <c r="B184" s="5"/>
      <c r="C184" s="5"/>
      <c r="D184" s="5"/>
      <c r="E184" s="5"/>
      <c r="F184" s="5"/>
      <c r="G184" s="5"/>
      <c r="H184" s="5"/>
      <c r="I184" s="57" t="s">
        <v>125</v>
      </c>
      <c r="J184" s="1"/>
    </row>
    <row r="185" spans="1:10" ht="53.25" customHeight="1">
      <c r="A185" s="11" t="s">
        <v>104</v>
      </c>
      <c r="B185" s="385" t="s">
        <v>126</v>
      </c>
      <c r="C185" s="385"/>
      <c r="D185" s="385"/>
      <c r="E185" s="385"/>
      <c r="F185" s="385"/>
      <c r="G185" s="385"/>
      <c r="H185" s="385"/>
      <c r="I185" s="385"/>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127</v>
      </c>
      <c r="C188" s="14"/>
      <c r="D188" s="14"/>
      <c r="E188" s="14"/>
      <c r="F188" s="14" t="s">
        <v>127</v>
      </c>
      <c r="G188" s="14"/>
      <c r="H188" s="14"/>
      <c r="I188" s="14"/>
    </row>
    <row r="189" spans="1:10" ht="35.25" customHeight="1">
      <c r="A189" s="8"/>
      <c r="B189" s="397" t="s">
        <v>46</v>
      </c>
      <c r="C189" s="397"/>
      <c r="D189" s="397"/>
      <c r="E189" s="397"/>
      <c r="F189" s="398" t="s">
        <v>47</v>
      </c>
      <c r="G189" s="397"/>
      <c r="H189" s="397"/>
      <c r="I189" s="397"/>
    </row>
    <row r="190" spans="1:10" ht="21.95" customHeight="1">
      <c r="A190" s="8"/>
      <c r="B190" s="15"/>
      <c r="C190" s="9"/>
      <c r="D190" s="9"/>
      <c r="E190" s="9"/>
      <c r="F190" s="16"/>
      <c r="G190" s="16"/>
      <c r="H190" s="16"/>
      <c r="I190" s="16"/>
    </row>
    <row r="191" spans="1:10" ht="21.95" customHeight="1">
      <c r="A191" s="8"/>
      <c r="B191" s="380" t="s">
        <v>128</v>
      </c>
      <c r="C191" s="380"/>
      <c r="D191" s="380"/>
      <c r="E191" s="380"/>
      <c r="F191" s="380" t="s">
        <v>128</v>
      </c>
      <c r="G191" s="380"/>
      <c r="H191" s="380"/>
      <c r="I191" s="380"/>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129</v>
      </c>
      <c r="C194" s="17"/>
      <c r="D194" s="5"/>
      <c r="E194" s="5"/>
      <c r="F194" s="389" t="str">
        <f>"Name : "&amp;'Name of Bidder'!C17</f>
        <v xml:space="preserve">Name : </v>
      </c>
      <c r="G194" s="389"/>
      <c r="H194" s="389"/>
      <c r="I194" s="389"/>
    </row>
    <row r="195" spans="1:9" ht="21.95" customHeight="1">
      <c r="A195" s="8"/>
      <c r="B195" s="5" t="s">
        <v>22</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80" t="s">
        <v>130</v>
      </c>
      <c r="C197" s="380"/>
      <c r="D197" s="380"/>
      <c r="E197" s="380"/>
      <c r="F197" s="380" t="s">
        <v>130</v>
      </c>
      <c r="G197" s="380"/>
      <c r="H197" s="380"/>
      <c r="I197" s="380"/>
    </row>
    <row r="198" spans="1:9" ht="21.95" customHeight="1">
      <c r="A198" s="8"/>
      <c r="B198" s="5" t="s">
        <v>129</v>
      </c>
      <c r="C198" s="5"/>
      <c r="D198" s="5"/>
      <c r="E198" s="5"/>
      <c r="F198" s="5" t="s">
        <v>129</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380" t="s">
        <v>131</v>
      </c>
      <c r="C201" s="380"/>
      <c r="D201" s="380"/>
      <c r="E201" s="380"/>
      <c r="F201" s="380" t="s">
        <v>131</v>
      </c>
      <c r="G201" s="380"/>
      <c r="H201" s="380"/>
      <c r="I201" s="380"/>
    </row>
    <row r="202" spans="1:9" ht="21.95" customHeight="1">
      <c r="A202" s="8"/>
      <c r="B202" s="5" t="s">
        <v>129</v>
      </c>
      <c r="C202" s="5"/>
      <c r="D202" s="5"/>
      <c r="E202" s="5"/>
      <c r="F202" s="5" t="s">
        <v>129</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13</v>
      </c>
      <c r="B223" s="5"/>
      <c r="C223" s="5"/>
      <c r="D223" s="5"/>
      <c r="E223" s="5"/>
      <c r="F223" s="5"/>
      <c r="G223" s="5"/>
      <c r="H223" s="5"/>
      <c r="I223" s="57" t="s">
        <v>132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6"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133</v>
      </c>
    </row>
    <row r="3" spans="1:27" ht="13.5" hidden="1" thickBot="1">
      <c r="A3" s="406">
        <v>155885</v>
      </c>
      <c r="B3" s="407"/>
      <c r="C3" s="32"/>
      <c r="D3" s="33"/>
      <c r="E3" s="32"/>
      <c r="F3" s="406">
        <v>4960</v>
      </c>
      <c r="G3" s="407"/>
      <c r="H3" s="32"/>
      <c r="I3" s="33"/>
      <c r="K3" s="406">
        <v>10352</v>
      </c>
      <c r="L3" s="407"/>
      <c r="M3" s="32"/>
      <c r="N3" s="33"/>
      <c r="P3" s="406">
        <v>691647</v>
      </c>
      <c r="Q3" s="407"/>
      <c r="R3" s="32"/>
      <c r="S3" s="33"/>
      <c r="U3" s="31" t="s">
        <v>134</v>
      </c>
    </row>
    <row r="4" spans="1:27" hidden="1">
      <c r="A4" s="401"/>
      <c r="B4" s="402"/>
      <c r="C4" s="32"/>
      <c r="D4" s="33"/>
      <c r="E4" s="32"/>
      <c r="F4" s="34"/>
      <c r="G4" s="32"/>
      <c r="H4" s="32"/>
      <c r="I4" s="33"/>
      <c r="K4" s="34"/>
      <c r="L4" s="32"/>
      <c r="M4" s="32"/>
      <c r="N4" s="33"/>
      <c r="P4" s="34"/>
      <c r="Q4" s="32"/>
      <c r="R4" s="32"/>
      <c r="S4" s="33"/>
      <c r="U4" s="31" t="s">
        <v>135</v>
      </c>
    </row>
    <row r="5" spans="1:27" hidden="1">
      <c r="A5" s="34"/>
      <c r="B5" s="35"/>
      <c r="C5" s="35"/>
      <c r="D5" s="36"/>
      <c r="E5" s="35"/>
      <c r="F5" s="34"/>
      <c r="G5" s="35"/>
      <c r="H5" s="35"/>
      <c r="I5" s="36"/>
      <c r="K5" s="34"/>
      <c r="L5" s="35"/>
      <c r="M5" s="35"/>
      <c r="N5" s="36"/>
      <c r="P5" s="34"/>
      <c r="Q5" s="35"/>
      <c r="R5" s="35"/>
      <c r="S5" s="36"/>
      <c r="U5" s="31" t="s">
        <v>136</v>
      </c>
    </row>
    <row r="6" spans="1:27" ht="51.75" hidden="1" customHeight="1" thickBot="1">
      <c r="A6" s="403" t="str">
        <f>IF(OR((A3&gt;9999999999),(A3&lt;0)),"Invalid Entry - More than 1000 crore OR -ve value",IF(A3=0, "",+CONCATENATE(U2,B13,D13,B12,D12,B11,D11,B10,D10,B9,D9,B8," Only")))</f>
        <v>USD One Lac Fifty Five Thousand Eight Hundred Eighty Five Only</v>
      </c>
      <c r="B6" s="404"/>
      <c r="C6" s="404"/>
      <c r="D6" s="405"/>
      <c r="E6" s="37"/>
      <c r="F6" s="403" t="str">
        <f>IF(OR((F3&gt;9999999999),(F3&lt;0)),"Invalid Entry - More than 1000 crore OR -ve value",IF(F3=0, "",+CONCATENATE(U3, G13,I13,G12,I12,G11,I11,G10,I10,G9,I9,G8," Only")))</f>
        <v>EURO Four Thousand Nine Hundred Sixty Only</v>
      </c>
      <c r="G6" s="404"/>
      <c r="H6" s="404"/>
      <c r="I6" s="405"/>
      <c r="J6" s="37"/>
      <c r="K6" s="403" t="str">
        <f>IF(OR((K3&gt;9999999999),(K3&lt;0)),"Invalid Entry - More than 1000 crore OR -ve value",IF(K3=0, "",+CONCATENATE(U4, L13,N13,L12,N12,L11,N11,L10,N10,L9,N9,L8," Only")))</f>
        <v>RMB Ten Thousand Three Hundred Fifty Two Only</v>
      </c>
      <c r="L6" s="404"/>
      <c r="M6" s="404"/>
      <c r="N6" s="405"/>
      <c r="P6" s="403" t="str">
        <f>IF(OR((P3&gt;9999999999),(P3&lt;0)),"Invalid Entry - More than 1000 crore OR -ve value",IF(P3=0, "",+CONCATENATE(U5, Q13,S13,Q12,S12,Q11,S11,Q10,S10,Q9,S9,Q8," Only")))</f>
        <v>INR Six Lac Ninety One Thousand Six Hundred Forty Seven Only</v>
      </c>
      <c r="Q6" s="404"/>
      <c r="R6" s="404"/>
      <c r="S6" s="405"/>
      <c r="U6" s="408" t="str">
        <f>VLOOKUP(1,T30:Y45,6,FALSE)</f>
        <v>USD 155885/- + EURO 4960/- + RMB 10352/- + INR 691647/-</v>
      </c>
      <c r="V6" s="408"/>
      <c r="W6" s="408"/>
      <c r="X6" s="408"/>
      <c r="Y6" s="408"/>
      <c r="Z6" s="408"/>
      <c r="AA6" s="408"/>
    </row>
    <row r="7" spans="1:27" ht="70.5" hidden="1" customHeight="1" thickBot="1">
      <c r="A7" s="34"/>
      <c r="B7" s="35"/>
      <c r="C7" s="35"/>
      <c r="D7" s="36"/>
      <c r="E7" s="35"/>
      <c r="F7" s="34"/>
      <c r="G7" s="35"/>
      <c r="H7" s="35"/>
      <c r="I7" s="36"/>
      <c r="K7" s="34"/>
      <c r="L7" s="35"/>
      <c r="M7" s="35"/>
      <c r="N7" s="36"/>
      <c r="P7" s="34"/>
      <c r="Q7" s="35"/>
      <c r="R7" s="35"/>
      <c r="S7" s="36"/>
      <c r="U7" s="409" t="str">
        <f>VLOOKUP(1,T10:Y25,6,FALSE)</f>
        <v>USD One Lac Fifty Five Thousand Eight Hundred Eighty Five Only plus EURO Four Thousand Nine Hundred Sixty Only plus RMB Ten Thousand Three Hundred Fifty Two Only plus INR Six Lac Ninety One Thousand Six Hundred Forty Seven Only</v>
      </c>
      <c r="V7" s="410"/>
      <c r="W7" s="410"/>
      <c r="X7" s="410"/>
      <c r="Y7" s="410"/>
      <c r="Z7" s="410"/>
      <c r="AA7" s="411"/>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137</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138</v>
      </c>
      <c r="C15" s="35"/>
      <c r="D15" s="36"/>
      <c r="E15" s="35"/>
      <c r="F15" s="46">
        <v>1</v>
      </c>
      <c r="G15" s="47" t="s">
        <v>138</v>
      </c>
      <c r="H15" s="35"/>
      <c r="I15" s="36"/>
      <c r="K15" s="46">
        <v>1</v>
      </c>
      <c r="L15" s="47" t="s">
        <v>138</v>
      </c>
      <c r="M15" s="35"/>
      <c r="N15" s="36"/>
      <c r="P15" s="46">
        <v>1</v>
      </c>
      <c r="Q15" s="47" t="s">
        <v>138</v>
      </c>
      <c r="R15" s="35"/>
      <c r="S15" s="36"/>
      <c r="T15" s="40">
        <f t="shared" si="4"/>
        <v>0</v>
      </c>
      <c r="U15" s="25">
        <v>0</v>
      </c>
      <c r="V15" s="25">
        <v>1</v>
      </c>
      <c r="W15" s="25">
        <v>0</v>
      </c>
      <c r="X15" s="25">
        <v>1</v>
      </c>
      <c r="Y15" s="42" t="str">
        <f>IF(AND($A$3=0,$F$3&gt;0,$K$3=0,$P$3&gt;0),$F$6&amp;$AA$10&amp;$P$6, "")</f>
        <v/>
      </c>
    </row>
    <row r="16" spans="1:27" hidden="1">
      <c r="A16" s="46">
        <v>2</v>
      </c>
      <c r="B16" s="47" t="s">
        <v>139</v>
      </c>
      <c r="C16" s="35"/>
      <c r="D16" s="36"/>
      <c r="E16" s="35"/>
      <c r="F16" s="46">
        <v>2</v>
      </c>
      <c r="G16" s="47" t="s">
        <v>139</v>
      </c>
      <c r="H16" s="35"/>
      <c r="I16" s="36"/>
      <c r="K16" s="46">
        <v>2</v>
      </c>
      <c r="L16" s="47" t="s">
        <v>139</v>
      </c>
      <c r="M16" s="35"/>
      <c r="N16" s="36"/>
      <c r="P16" s="46">
        <v>2</v>
      </c>
      <c r="Q16" s="47" t="s">
        <v>139</v>
      </c>
      <c r="R16" s="35"/>
      <c r="S16" s="36"/>
      <c r="T16" s="40">
        <f t="shared" si="4"/>
        <v>0</v>
      </c>
      <c r="U16" s="25">
        <v>0</v>
      </c>
      <c r="V16" s="25">
        <v>1</v>
      </c>
      <c r="W16" s="25">
        <v>1</v>
      </c>
      <c r="X16" s="25">
        <v>0</v>
      </c>
      <c r="Y16" s="42" t="str">
        <f>IF(AND($A$3=0,$F$3&gt;0,$K$3&gt;0,$P$3=0),$F$6&amp;$AA$10&amp;$K$6, "")</f>
        <v/>
      </c>
    </row>
    <row r="17" spans="1:27" hidden="1">
      <c r="A17" s="46">
        <v>3</v>
      </c>
      <c r="B17" s="47" t="s">
        <v>140</v>
      </c>
      <c r="C17" s="35"/>
      <c r="D17" s="36"/>
      <c r="E17" s="35"/>
      <c r="F17" s="46">
        <v>3</v>
      </c>
      <c r="G17" s="47" t="s">
        <v>140</v>
      </c>
      <c r="H17" s="35"/>
      <c r="I17" s="36"/>
      <c r="K17" s="46">
        <v>3</v>
      </c>
      <c r="L17" s="47" t="s">
        <v>140</v>
      </c>
      <c r="M17" s="35"/>
      <c r="N17" s="36"/>
      <c r="P17" s="46">
        <v>3</v>
      </c>
      <c r="Q17" s="47" t="s">
        <v>140</v>
      </c>
      <c r="R17" s="35"/>
      <c r="S17" s="36"/>
      <c r="T17" s="40">
        <f t="shared" si="4"/>
        <v>0</v>
      </c>
      <c r="U17" s="25">
        <v>0</v>
      </c>
      <c r="V17" s="25">
        <v>1</v>
      </c>
      <c r="W17" s="25">
        <v>1</v>
      </c>
      <c r="X17" s="25">
        <v>1</v>
      </c>
      <c r="Y17" s="48" t="str">
        <f>IF(AND($A$3=0,$F$3&gt;0,$K$3&gt;0,$P$3&gt;0),$F$6&amp;$AA$10&amp;$K$6&amp;$AA$10&amp;$P$6, "")</f>
        <v/>
      </c>
    </row>
    <row r="18" spans="1:27" hidden="1">
      <c r="A18" s="46">
        <v>4</v>
      </c>
      <c r="B18" s="47" t="s">
        <v>141</v>
      </c>
      <c r="C18" s="35"/>
      <c r="D18" s="36"/>
      <c r="E18" s="35"/>
      <c r="F18" s="46">
        <v>4</v>
      </c>
      <c r="G18" s="47" t="s">
        <v>141</v>
      </c>
      <c r="H18" s="35"/>
      <c r="I18" s="36"/>
      <c r="K18" s="46">
        <v>4</v>
      </c>
      <c r="L18" s="47" t="s">
        <v>141</v>
      </c>
      <c r="M18" s="35"/>
      <c r="N18" s="36"/>
      <c r="P18" s="46">
        <v>4</v>
      </c>
      <c r="Q18" s="47" t="s">
        <v>141</v>
      </c>
      <c r="R18" s="35"/>
      <c r="S18" s="36"/>
      <c r="T18" s="40">
        <f t="shared" si="4"/>
        <v>0</v>
      </c>
      <c r="U18" s="25">
        <v>1</v>
      </c>
      <c r="V18" s="25">
        <v>0</v>
      </c>
      <c r="W18" s="25">
        <v>0</v>
      </c>
      <c r="X18" s="25">
        <v>0</v>
      </c>
      <c r="Y18" s="41" t="str">
        <f>IF(AND($A$3&gt;0,$F$3=0,$K$3=0,$P$3=0), $A$6, "")</f>
        <v/>
      </c>
    </row>
    <row r="19" spans="1:27" hidden="1">
      <c r="A19" s="46">
        <v>5</v>
      </c>
      <c r="B19" s="47" t="s">
        <v>142</v>
      </c>
      <c r="C19" s="35"/>
      <c r="D19" s="36"/>
      <c r="E19" s="35"/>
      <c r="F19" s="46">
        <v>5</v>
      </c>
      <c r="G19" s="47" t="s">
        <v>142</v>
      </c>
      <c r="H19" s="35"/>
      <c r="I19" s="36"/>
      <c r="K19" s="46">
        <v>5</v>
      </c>
      <c r="L19" s="47" t="s">
        <v>142</v>
      </c>
      <c r="M19" s="35"/>
      <c r="N19" s="36"/>
      <c r="P19" s="46">
        <v>5</v>
      </c>
      <c r="Q19" s="47" t="s">
        <v>142</v>
      </c>
      <c r="R19" s="35"/>
      <c r="S19" s="36"/>
      <c r="T19" s="40">
        <f t="shared" si="4"/>
        <v>0</v>
      </c>
      <c r="U19" s="25">
        <v>1</v>
      </c>
      <c r="V19" s="25">
        <v>0</v>
      </c>
      <c r="W19" s="25">
        <v>0</v>
      </c>
      <c r="X19" s="25">
        <v>1</v>
      </c>
      <c r="Y19" s="42" t="str">
        <f>IF(AND($A$3&gt;0,$F$3=0,$K$3=0,$P$3&gt;0),$A$6&amp;$AA$10&amp;$P$6, "")</f>
        <v/>
      </c>
    </row>
    <row r="20" spans="1:27" hidden="1">
      <c r="A20" s="46">
        <v>6</v>
      </c>
      <c r="B20" s="47" t="s">
        <v>143</v>
      </c>
      <c r="C20" s="35"/>
      <c r="D20" s="36"/>
      <c r="E20" s="35"/>
      <c r="F20" s="46">
        <v>6</v>
      </c>
      <c r="G20" s="47" t="s">
        <v>143</v>
      </c>
      <c r="H20" s="35"/>
      <c r="I20" s="36"/>
      <c r="K20" s="46">
        <v>6</v>
      </c>
      <c r="L20" s="47" t="s">
        <v>143</v>
      </c>
      <c r="M20" s="35"/>
      <c r="N20" s="36"/>
      <c r="P20" s="46">
        <v>6</v>
      </c>
      <c r="Q20" s="47" t="s">
        <v>143</v>
      </c>
      <c r="R20" s="35"/>
      <c r="S20" s="36"/>
      <c r="T20" s="40">
        <f t="shared" si="4"/>
        <v>0</v>
      </c>
      <c r="U20" s="25">
        <v>1</v>
      </c>
      <c r="V20" s="25">
        <v>0</v>
      </c>
      <c r="W20" s="25">
        <v>1</v>
      </c>
      <c r="X20" s="25">
        <v>0</v>
      </c>
      <c r="Y20" s="42" t="str">
        <f>IF(AND($A$3&gt;0,$F$3=0,$K$3&gt;0,$P$3=0),$A$6&amp;$AA$10&amp;$K$6, "")</f>
        <v/>
      </c>
    </row>
    <row r="21" spans="1:27" hidden="1">
      <c r="A21" s="46">
        <v>7</v>
      </c>
      <c r="B21" s="47" t="s">
        <v>144</v>
      </c>
      <c r="C21" s="35"/>
      <c r="D21" s="36"/>
      <c r="E21" s="35"/>
      <c r="F21" s="46">
        <v>7</v>
      </c>
      <c r="G21" s="47" t="s">
        <v>144</v>
      </c>
      <c r="H21" s="35"/>
      <c r="I21" s="36"/>
      <c r="K21" s="46">
        <v>7</v>
      </c>
      <c r="L21" s="47" t="s">
        <v>144</v>
      </c>
      <c r="M21" s="35"/>
      <c r="N21" s="36"/>
      <c r="P21" s="46">
        <v>7</v>
      </c>
      <c r="Q21" s="47" t="s">
        <v>144</v>
      </c>
      <c r="R21" s="35"/>
      <c r="S21" s="36"/>
      <c r="T21" s="40">
        <f t="shared" si="4"/>
        <v>0</v>
      </c>
      <c r="U21" s="25">
        <v>1</v>
      </c>
      <c r="V21" s="25">
        <v>0</v>
      </c>
      <c r="W21" s="25">
        <v>1</v>
      </c>
      <c r="X21" s="25">
        <v>1</v>
      </c>
      <c r="Y21" s="42" t="str">
        <f>IF(AND($A$3&gt;0,$F$3=0,$K$3&gt;0,$P$3&gt;0),$A$6&amp;$AA$10&amp;$K$6&amp;$AA$10&amp;$P$6, "")</f>
        <v/>
      </c>
    </row>
    <row r="22" spans="1:27" hidden="1">
      <c r="A22" s="46">
        <v>8</v>
      </c>
      <c r="B22" s="47" t="s">
        <v>145</v>
      </c>
      <c r="C22" s="35"/>
      <c r="D22" s="36"/>
      <c r="E22" s="35"/>
      <c r="F22" s="46">
        <v>8</v>
      </c>
      <c r="G22" s="47" t="s">
        <v>145</v>
      </c>
      <c r="H22" s="35"/>
      <c r="I22" s="36"/>
      <c r="K22" s="46">
        <v>8</v>
      </c>
      <c r="L22" s="47" t="s">
        <v>145</v>
      </c>
      <c r="M22" s="35"/>
      <c r="N22" s="36"/>
      <c r="P22" s="46">
        <v>8</v>
      </c>
      <c r="Q22" s="47" t="s">
        <v>145</v>
      </c>
      <c r="R22" s="35"/>
      <c r="S22" s="36"/>
      <c r="T22" s="40">
        <f t="shared" si="4"/>
        <v>0</v>
      </c>
      <c r="U22" s="25">
        <v>1</v>
      </c>
      <c r="V22" s="25">
        <v>1</v>
      </c>
      <c r="W22" s="25">
        <v>0</v>
      </c>
      <c r="X22" s="25">
        <v>0</v>
      </c>
      <c r="Y22" s="42" t="str">
        <f>IF(AND($A$3&gt;0,$F$3&gt;0,$K$3=0,$P$3=0),$A$6&amp;$AA$10&amp;$F$6, "")</f>
        <v/>
      </c>
    </row>
    <row r="23" spans="1:27" hidden="1">
      <c r="A23" s="46">
        <v>9</v>
      </c>
      <c r="B23" s="47" t="s">
        <v>146</v>
      </c>
      <c r="C23" s="35"/>
      <c r="D23" s="36"/>
      <c r="E23" s="35"/>
      <c r="F23" s="46">
        <v>9</v>
      </c>
      <c r="G23" s="47" t="s">
        <v>146</v>
      </c>
      <c r="H23" s="35"/>
      <c r="I23" s="36"/>
      <c r="K23" s="46">
        <v>9</v>
      </c>
      <c r="L23" s="47" t="s">
        <v>146</v>
      </c>
      <c r="M23" s="35"/>
      <c r="N23" s="36"/>
      <c r="P23" s="46">
        <v>9</v>
      </c>
      <c r="Q23" s="47" t="s">
        <v>146</v>
      </c>
      <c r="R23" s="35"/>
      <c r="S23" s="36"/>
      <c r="T23" s="40">
        <f t="shared" si="4"/>
        <v>0</v>
      </c>
      <c r="U23" s="25">
        <v>1</v>
      </c>
      <c r="V23" s="25">
        <v>1</v>
      </c>
      <c r="W23" s="25">
        <v>0</v>
      </c>
      <c r="X23" s="25">
        <v>1</v>
      </c>
      <c r="Y23" s="42" t="str">
        <f>IF(AND($A$3&gt;0,$F$3&gt;0,$K$3=0,$P$3&gt;0),$A$6&amp;$AA$10&amp;$F$6&amp;$AA$10&amp;$P$6, "")</f>
        <v/>
      </c>
    </row>
    <row r="24" spans="1:27" hidden="1">
      <c r="A24" s="46">
        <v>10</v>
      </c>
      <c r="B24" s="47" t="s">
        <v>147</v>
      </c>
      <c r="C24" s="35"/>
      <c r="D24" s="36"/>
      <c r="E24" s="35"/>
      <c r="F24" s="46">
        <v>10</v>
      </c>
      <c r="G24" s="47" t="s">
        <v>147</v>
      </c>
      <c r="H24" s="35"/>
      <c r="I24" s="36"/>
      <c r="K24" s="46">
        <v>10</v>
      </c>
      <c r="L24" s="47" t="s">
        <v>147</v>
      </c>
      <c r="M24" s="35"/>
      <c r="N24" s="36"/>
      <c r="P24" s="46">
        <v>10</v>
      </c>
      <c r="Q24" s="47" t="s">
        <v>147</v>
      </c>
      <c r="R24" s="35"/>
      <c r="S24" s="36"/>
      <c r="T24" s="40">
        <f t="shared" si="4"/>
        <v>0</v>
      </c>
      <c r="U24" s="25">
        <v>1</v>
      </c>
      <c r="V24" s="25">
        <v>1</v>
      </c>
      <c r="W24" s="25">
        <v>1</v>
      </c>
      <c r="X24" s="25">
        <v>0</v>
      </c>
      <c r="Y24" s="42" t="str">
        <f>IF(AND($A$3&gt;0,$F$3&gt;0,$K$3&gt;0,$P$3=0),$A$6&amp;$AA$10&amp;$F$6&amp;$AA$10&amp;$K$6, "")</f>
        <v/>
      </c>
    </row>
    <row r="25" spans="1:27" hidden="1">
      <c r="A25" s="46">
        <v>11</v>
      </c>
      <c r="B25" s="47" t="s">
        <v>148</v>
      </c>
      <c r="C25" s="35"/>
      <c r="D25" s="36"/>
      <c r="E25" s="35"/>
      <c r="F25" s="46">
        <v>11</v>
      </c>
      <c r="G25" s="47" t="s">
        <v>148</v>
      </c>
      <c r="H25" s="35"/>
      <c r="I25" s="36"/>
      <c r="K25" s="46">
        <v>11</v>
      </c>
      <c r="L25" s="47" t="s">
        <v>148</v>
      </c>
      <c r="M25" s="35"/>
      <c r="N25" s="36"/>
      <c r="P25" s="46">
        <v>11</v>
      </c>
      <c r="Q25" s="47" t="s">
        <v>148</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149</v>
      </c>
      <c r="C26" s="35"/>
      <c r="D26" s="36"/>
      <c r="E26" s="35"/>
      <c r="F26" s="46">
        <v>12</v>
      </c>
      <c r="G26" s="47" t="s">
        <v>149</v>
      </c>
      <c r="H26" s="35"/>
      <c r="I26" s="36"/>
      <c r="K26" s="46">
        <v>12</v>
      </c>
      <c r="L26" s="47" t="s">
        <v>149</v>
      </c>
      <c r="M26" s="35"/>
      <c r="N26" s="36"/>
      <c r="P26" s="46">
        <v>12</v>
      </c>
      <c r="Q26" s="47" t="s">
        <v>149</v>
      </c>
      <c r="R26" s="35"/>
      <c r="S26" s="36"/>
    </row>
    <row r="27" spans="1:27" hidden="1">
      <c r="A27" s="46">
        <v>13</v>
      </c>
      <c r="B27" s="47" t="s">
        <v>150</v>
      </c>
      <c r="C27" s="35"/>
      <c r="D27" s="36"/>
      <c r="E27" s="35"/>
      <c r="F27" s="46">
        <v>13</v>
      </c>
      <c r="G27" s="47" t="s">
        <v>150</v>
      </c>
      <c r="H27" s="35"/>
      <c r="I27" s="36"/>
      <c r="K27" s="46">
        <v>13</v>
      </c>
      <c r="L27" s="47" t="s">
        <v>150</v>
      </c>
      <c r="M27" s="35"/>
      <c r="N27" s="36"/>
      <c r="P27" s="46">
        <v>13</v>
      </c>
      <c r="Q27" s="47" t="s">
        <v>150</v>
      </c>
      <c r="R27" s="35"/>
      <c r="S27" s="36"/>
    </row>
    <row r="28" spans="1:27" hidden="1">
      <c r="A28" s="46">
        <v>14</v>
      </c>
      <c r="B28" s="47" t="s">
        <v>151</v>
      </c>
      <c r="C28" s="35"/>
      <c r="D28" s="36"/>
      <c r="E28" s="35"/>
      <c r="F28" s="46">
        <v>14</v>
      </c>
      <c r="G28" s="47" t="s">
        <v>151</v>
      </c>
      <c r="H28" s="35"/>
      <c r="I28" s="36"/>
      <c r="K28" s="46">
        <v>14</v>
      </c>
      <c r="L28" s="47" t="s">
        <v>151</v>
      </c>
      <c r="M28" s="35"/>
      <c r="N28" s="36"/>
      <c r="P28" s="46">
        <v>14</v>
      </c>
      <c r="Q28" s="47" t="s">
        <v>151</v>
      </c>
      <c r="R28" s="35"/>
      <c r="S28" s="36"/>
    </row>
    <row r="29" spans="1:27" hidden="1">
      <c r="A29" s="46">
        <v>15</v>
      </c>
      <c r="B29" s="47" t="s">
        <v>152</v>
      </c>
      <c r="C29" s="35"/>
      <c r="D29" s="36"/>
      <c r="E29" s="35"/>
      <c r="F29" s="46">
        <v>15</v>
      </c>
      <c r="G29" s="47" t="s">
        <v>152</v>
      </c>
      <c r="H29" s="35"/>
      <c r="I29" s="36"/>
      <c r="K29" s="46">
        <v>15</v>
      </c>
      <c r="L29" s="47" t="s">
        <v>152</v>
      </c>
      <c r="M29" s="35"/>
      <c r="N29" s="36"/>
      <c r="P29" s="46">
        <v>15</v>
      </c>
      <c r="Q29" s="47" t="s">
        <v>152</v>
      </c>
      <c r="R29" s="35"/>
      <c r="S29" s="36"/>
    </row>
    <row r="30" spans="1:27" hidden="1">
      <c r="A30" s="46">
        <v>16</v>
      </c>
      <c r="B30" s="47" t="s">
        <v>153</v>
      </c>
      <c r="C30" s="35"/>
      <c r="D30" s="36"/>
      <c r="E30" s="35"/>
      <c r="F30" s="46">
        <v>16</v>
      </c>
      <c r="G30" s="47" t="s">
        <v>153</v>
      </c>
      <c r="H30" s="35"/>
      <c r="I30" s="36"/>
      <c r="K30" s="46">
        <v>16</v>
      </c>
      <c r="L30" s="47" t="s">
        <v>153</v>
      </c>
      <c r="M30" s="35"/>
      <c r="N30" s="36"/>
      <c r="P30" s="46">
        <v>16</v>
      </c>
      <c r="Q30" s="47" t="s">
        <v>153</v>
      </c>
      <c r="R30" s="35"/>
      <c r="S30" s="36"/>
      <c r="T30" s="40">
        <f>IF(Y30="",0, 1)</f>
        <v>0</v>
      </c>
      <c r="U30" s="25">
        <v>0</v>
      </c>
      <c r="V30" s="25">
        <v>0</v>
      </c>
      <c r="W30" s="25">
        <v>0</v>
      </c>
      <c r="X30" s="25">
        <v>0</v>
      </c>
      <c r="Y30" s="41" t="str">
        <f>IF(AND($A$3=0,$F$3=0,$K$3=0,$P$3=0)," 0/-", "")</f>
        <v/>
      </c>
      <c r="AA30" s="25" t="s">
        <v>154</v>
      </c>
    </row>
    <row r="31" spans="1:27" hidden="1">
      <c r="A31" s="46">
        <v>17</v>
      </c>
      <c r="B31" s="47" t="s">
        <v>155</v>
      </c>
      <c r="C31" s="35"/>
      <c r="D31" s="36"/>
      <c r="E31" s="35"/>
      <c r="F31" s="46">
        <v>17</v>
      </c>
      <c r="G31" s="47" t="s">
        <v>155</v>
      </c>
      <c r="H31" s="35"/>
      <c r="I31" s="36"/>
      <c r="K31" s="46">
        <v>17</v>
      </c>
      <c r="L31" s="47" t="s">
        <v>155</v>
      </c>
      <c r="M31" s="35"/>
      <c r="N31" s="36"/>
      <c r="P31" s="46">
        <v>17</v>
      </c>
      <c r="Q31" s="47" t="s">
        <v>155</v>
      </c>
      <c r="R31" s="35"/>
      <c r="S31" s="36"/>
      <c r="T31" s="40">
        <f t="shared" ref="T31:T45" si="5">IF(Y31="",0, 1)</f>
        <v>0</v>
      </c>
      <c r="U31" s="25">
        <v>0</v>
      </c>
      <c r="V31" s="25">
        <v>0</v>
      </c>
      <c r="W31" s="25">
        <v>0</v>
      </c>
      <c r="X31" s="25">
        <v>1</v>
      </c>
      <c r="Y31" s="42" t="str">
        <f>IF(AND($A$3=0,$F$3=0,$K$3=0,$P$3&gt;0),$U$5&amp;$P$3&amp;$AA$32, "")</f>
        <v/>
      </c>
      <c r="AA31" s="25" t="s">
        <v>156</v>
      </c>
    </row>
    <row r="32" spans="1:27" hidden="1">
      <c r="A32" s="46">
        <v>18</v>
      </c>
      <c r="B32" s="47" t="s">
        <v>157</v>
      </c>
      <c r="C32" s="35"/>
      <c r="D32" s="36"/>
      <c r="E32" s="35"/>
      <c r="F32" s="46">
        <v>18</v>
      </c>
      <c r="G32" s="47" t="s">
        <v>157</v>
      </c>
      <c r="H32" s="35"/>
      <c r="I32" s="36"/>
      <c r="K32" s="46">
        <v>18</v>
      </c>
      <c r="L32" s="47" t="s">
        <v>157</v>
      </c>
      <c r="M32" s="35"/>
      <c r="N32" s="36"/>
      <c r="P32" s="46">
        <v>18</v>
      </c>
      <c r="Q32" s="47" t="s">
        <v>157</v>
      </c>
      <c r="R32" s="35"/>
      <c r="S32" s="36"/>
      <c r="T32" s="40">
        <f t="shared" si="5"/>
        <v>0</v>
      </c>
      <c r="U32" s="25">
        <v>0</v>
      </c>
      <c r="V32" s="25">
        <v>0</v>
      </c>
      <c r="W32" s="25">
        <v>1</v>
      </c>
      <c r="X32" s="25">
        <v>0</v>
      </c>
      <c r="Y32" s="42" t="str">
        <f>IF(AND($A$3=0,$F$3=0,$K$3&gt;0,$P$3=0),$U$4&amp;$K$3&amp;$AA$32, "")</f>
        <v/>
      </c>
      <c r="AA32" s="25" t="s">
        <v>158</v>
      </c>
    </row>
    <row r="33" spans="1:25" hidden="1">
      <c r="A33" s="46">
        <v>19</v>
      </c>
      <c r="B33" s="47" t="s">
        <v>159</v>
      </c>
      <c r="C33" s="35"/>
      <c r="D33" s="36"/>
      <c r="E33" s="35"/>
      <c r="F33" s="46">
        <v>19</v>
      </c>
      <c r="G33" s="47" t="s">
        <v>159</v>
      </c>
      <c r="H33" s="35"/>
      <c r="I33" s="36"/>
      <c r="K33" s="46">
        <v>19</v>
      </c>
      <c r="L33" s="47" t="s">
        <v>159</v>
      </c>
      <c r="M33" s="35"/>
      <c r="N33" s="36"/>
      <c r="P33" s="46">
        <v>19</v>
      </c>
      <c r="Q33" s="47" t="s">
        <v>159</v>
      </c>
      <c r="R33" s="35"/>
      <c r="S33" s="36"/>
      <c r="T33" s="40">
        <f t="shared" si="5"/>
        <v>0</v>
      </c>
      <c r="U33" s="25">
        <v>0</v>
      </c>
      <c r="V33" s="25">
        <v>0</v>
      </c>
      <c r="W33" s="25">
        <v>1</v>
      </c>
      <c r="X33" s="25">
        <v>1</v>
      </c>
      <c r="Y33" s="42" t="str">
        <f>IF(AND($A$3=0,$F$3=0,$K$3&gt;0,$P$3&gt;0),$U$4&amp;$K$3&amp;$AA$31&amp;$U$5&amp;$P$3&amp;$AA$32, "")</f>
        <v/>
      </c>
    </row>
    <row r="34" spans="1:25" hidden="1">
      <c r="A34" s="46">
        <v>20</v>
      </c>
      <c r="B34" s="47" t="s">
        <v>160</v>
      </c>
      <c r="C34" s="35"/>
      <c r="D34" s="36"/>
      <c r="E34" s="35"/>
      <c r="F34" s="46">
        <v>20</v>
      </c>
      <c r="G34" s="47" t="s">
        <v>160</v>
      </c>
      <c r="H34" s="35"/>
      <c r="I34" s="36"/>
      <c r="K34" s="46">
        <v>20</v>
      </c>
      <c r="L34" s="47" t="s">
        <v>160</v>
      </c>
      <c r="M34" s="35"/>
      <c r="N34" s="36"/>
      <c r="P34" s="46">
        <v>20</v>
      </c>
      <c r="Q34" s="47" t="s">
        <v>160</v>
      </c>
      <c r="R34" s="35"/>
      <c r="S34" s="36"/>
      <c r="T34" s="40">
        <f t="shared" si="5"/>
        <v>0</v>
      </c>
      <c r="U34" s="25">
        <v>0</v>
      </c>
      <c r="V34" s="25">
        <v>1</v>
      </c>
      <c r="W34" s="25">
        <v>0</v>
      </c>
      <c r="X34" s="25">
        <v>0</v>
      </c>
      <c r="Y34" s="42" t="str">
        <f>IF(AND($A$3=0,$F$3&gt;0,$K$3=0,$P$3=0),$U$3&amp;$F$3&amp;$AA$32, "")</f>
        <v/>
      </c>
    </row>
    <row r="35" spans="1:25" hidden="1">
      <c r="A35" s="46">
        <v>21</v>
      </c>
      <c r="B35" s="47" t="s">
        <v>161</v>
      </c>
      <c r="C35" s="35"/>
      <c r="D35" s="36"/>
      <c r="E35" s="35"/>
      <c r="F35" s="46">
        <v>21</v>
      </c>
      <c r="G35" s="47" t="s">
        <v>161</v>
      </c>
      <c r="H35" s="35"/>
      <c r="I35" s="36"/>
      <c r="K35" s="46">
        <v>21</v>
      </c>
      <c r="L35" s="47" t="s">
        <v>161</v>
      </c>
      <c r="M35" s="35"/>
      <c r="N35" s="36"/>
      <c r="P35" s="46">
        <v>21</v>
      </c>
      <c r="Q35" s="47" t="s">
        <v>161</v>
      </c>
      <c r="R35" s="35"/>
      <c r="S35" s="36"/>
      <c r="T35" s="40">
        <f t="shared" si="5"/>
        <v>0</v>
      </c>
      <c r="U35" s="25">
        <v>0</v>
      </c>
      <c r="V35" s="25">
        <v>1</v>
      </c>
      <c r="W35" s="25">
        <v>0</v>
      </c>
      <c r="X35" s="25">
        <v>1</v>
      </c>
      <c r="Y35" s="42" t="str">
        <f>IF(AND($A$3=0,$F$3&gt;0,$K$3=0,$P$3&gt;0),$U$3&amp;$F$3&amp;$AA$31&amp;$U$5&amp;$P$3&amp;$AA$32, "")</f>
        <v/>
      </c>
    </row>
    <row r="36" spans="1:25" hidden="1">
      <c r="A36" s="46">
        <v>22</v>
      </c>
      <c r="B36" s="47" t="s">
        <v>162</v>
      </c>
      <c r="C36" s="35"/>
      <c r="D36" s="36"/>
      <c r="E36" s="35"/>
      <c r="F36" s="46">
        <v>22</v>
      </c>
      <c r="G36" s="47" t="s">
        <v>162</v>
      </c>
      <c r="H36" s="35"/>
      <c r="I36" s="36"/>
      <c r="K36" s="46">
        <v>22</v>
      </c>
      <c r="L36" s="47" t="s">
        <v>162</v>
      </c>
      <c r="M36" s="35"/>
      <c r="N36" s="36"/>
      <c r="P36" s="46">
        <v>22</v>
      </c>
      <c r="Q36" s="47" t="s">
        <v>162</v>
      </c>
      <c r="R36" s="35"/>
      <c r="S36" s="36"/>
      <c r="T36" s="40">
        <f t="shared" si="5"/>
        <v>0</v>
      </c>
      <c r="U36" s="25">
        <v>0</v>
      </c>
      <c r="V36" s="25">
        <v>1</v>
      </c>
      <c r="W36" s="25">
        <v>1</v>
      </c>
      <c r="X36" s="25">
        <v>0</v>
      </c>
      <c r="Y36" s="42" t="str">
        <f>IF(AND($A$3=0,$F$3&gt;0,$K$3&gt;0,$P$3=0),$U$3&amp;$F$3&amp;$AA$31&amp;$U$4&amp;$K$3, "")</f>
        <v/>
      </c>
    </row>
    <row r="37" spans="1:25" hidden="1">
      <c r="A37" s="46">
        <v>23</v>
      </c>
      <c r="B37" s="47" t="s">
        <v>163</v>
      </c>
      <c r="C37" s="35"/>
      <c r="D37" s="36"/>
      <c r="E37" s="35"/>
      <c r="F37" s="46">
        <v>23</v>
      </c>
      <c r="G37" s="47" t="s">
        <v>163</v>
      </c>
      <c r="H37" s="35"/>
      <c r="I37" s="36"/>
      <c r="K37" s="46">
        <v>23</v>
      </c>
      <c r="L37" s="47" t="s">
        <v>163</v>
      </c>
      <c r="M37" s="35"/>
      <c r="N37" s="36"/>
      <c r="P37" s="46">
        <v>23</v>
      </c>
      <c r="Q37" s="47" t="s">
        <v>163</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164</v>
      </c>
      <c r="C38" s="35"/>
      <c r="D38" s="36"/>
      <c r="E38" s="35"/>
      <c r="F38" s="46">
        <v>24</v>
      </c>
      <c r="G38" s="47" t="s">
        <v>164</v>
      </c>
      <c r="H38" s="35"/>
      <c r="I38" s="36"/>
      <c r="K38" s="46">
        <v>24</v>
      </c>
      <c r="L38" s="47" t="s">
        <v>164</v>
      </c>
      <c r="M38" s="35"/>
      <c r="N38" s="36"/>
      <c r="P38" s="46">
        <v>24</v>
      </c>
      <c r="Q38" s="47" t="s">
        <v>164</v>
      </c>
      <c r="R38" s="35"/>
      <c r="S38" s="36"/>
      <c r="T38" s="40">
        <f t="shared" si="5"/>
        <v>0</v>
      </c>
      <c r="U38" s="25">
        <v>1</v>
      </c>
      <c r="V38" s="25">
        <v>0</v>
      </c>
      <c r="W38" s="25">
        <v>0</v>
      </c>
      <c r="X38" s="25">
        <v>0</v>
      </c>
      <c r="Y38" s="41" t="str">
        <f>IF(AND($A$3&gt;0,$F$3=0,$K$3=0,$P$3=0), $U$2&amp;$A$3&amp;$AA$32, "")</f>
        <v/>
      </c>
    </row>
    <row r="39" spans="1:25" hidden="1">
      <c r="A39" s="46">
        <v>25</v>
      </c>
      <c r="B39" s="47" t="s">
        <v>165</v>
      </c>
      <c r="C39" s="35"/>
      <c r="D39" s="36"/>
      <c r="E39" s="35"/>
      <c r="F39" s="46">
        <v>25</v>
      </c>
      <c r="G39" s="47" t="s">
        <v>165</v>
      </c>
      <c r="H39" s="35"/>
      <c r="I39" s="36"/>
      <c r="K39" s="46">
        <v>25</v>
      </c>
      <c r="L39" s="47" t="s">
        <v>165</v>
      </c>
      <c r="M39" s="35"/>
      <c r="N39" s="36"/>
      <c r="P39" s="46">
        <v>25</v>
      </c>
      <c r="Q39" s="47" t="s">
        <v>165</v>
      </c>
      <c r="R39" s="35"/>
      <c r="S39" s="36"/>
      <c r="T39" s="40">
        <f t="shared" si="5"/>
        <v>0</v>
      </c>
      <c r="U39" s="25">
        <v>1</v>
      </c>
      <c r="V39" s="25">
        <v>0</v>
      </c>
      <c r="W39" s="25">
        <v>0</v>
      </c>
      <c r="X39" s="25">
        <v>1</v>
      </c>
      <c r="Y39" s="42" t="str">
        <f>IF(AND($A$3&gt;0,$F$3=0,$K$3=0,$P$3&gt;0),$U$2&amp;$A$3&amp;$AA$31&amp;$U$5&amp;$P$3&amp;$AA$32, "")</f>
        <v/>
      </c>
    </row>
    <row r="40" spans="1:25" hidden="1">
      <c r="A40" s="46">
        <v>26</v>
      </c>
      <c r="B40" s="47" t="s">
        <v>166</v>
      </c>
      <c r="C40" s="35"/>
      <c r="D40" s="36"/>
      <c r="E40" s="35"/>
      <c r="F40" s="46">
        <v>26</v>
      </c>
      <c r="G40" s="47" t="s">
        <v>166</v>
      </c>
      <c r="H40" s="35"/>
      <c r="I40" s="36"/>
      <c r="K40" s="46">
        <v>26</v>
      </c>
      <c r="L40" s="47" t="s">
        <v>166</v>
      </c>
      <c r="M40" s="35"/>
      <c r="N40" s="36"/>
      <c r="P40" s="46">
        <v>26</v>
      </c>
      <c r="Q40" s="47" t="s">
        <v>166</v>
      </c>
      <c r="R40" s="35"/>
      <c r="S40" s="36"/>
      <c r="T40" s="40">
        <f t="shared" si="5"/>
        <v>0</v>
      </c>
      <c r="U40" s="25">
        <v>1</v>
      </c>
      <c r="V40" s="25">
        <v>0</v>
      </c>
      <c r="W40" s="25">
        <v>1</v>
      </c>
      <c r="X40" s="25">
        <v>0</v>
      </c>
      <c r="Y40" s="42" t="str">
        <f>IF(AND($A$3&gt;0,$F$3=0,$K$3&gt;0,$P$3=0),$U$2&amp;$A$3&amp;$AA$31&amp;$U$4&amp;$K$3, "")</f>
        <v/>
      </c>
    </row>
    <row r="41" spans="1:25" hidden="1">
      <c r="A41" s="46">
        <v>27</v>
      </c>
      <c r="B41" s="47" t="s">
        <v>167</v>
      </c>
      <c r="C41" s="35"/>
      <c r="D41" s="36"/>
      <c r="E41" s="35"/>
      <c r="F41" s="46">
        <v>27</v>
      </c>
      <c r="G41" s="47" t="s">
        <v>167</v>
      </c>
      <c r="H41" s="35"/>
      <c r="I41" s="36"/>
      <c r="K41" s="46">
        <v>27</v>
      </c>
      <c r="L41" s="47" t="s">
        <v>167</v>
      </c>
      <c r="M41" s="35"/>
      <c r="N41" s="36"/>
      <c r="P41" s="46">
        <v>27</v>
      </c>
      <c r="Q41" s="47" t="s">
        <v>167</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168</v>
      </c>
      <c r="C42" s="35"/>
      <c r="D42" s="36"/>
      <c r="E42" s="35"/>
      <c r="F42" s="46">
        <v>28</v>
      </c>
      <c r="G42" s="47" t="s">
        <v>168</v>
      </c>
      <c r="H42" s="35"/>
      <c r="I42" s="36"/>
      <c r="K42" s="46">
        <v>28</v>
      </c>
      <c r="L42" s="47" t="s">
        <v>168</v>
      </c>
      <c r="M42" s="35"/>
      <c r="N42" s="36"/>
      <c r="P42" s="46">
        <v>28</v>
      </c>
      <c r="Q42" s="47" t="s">
        <v>168</v>
      </c>
      <c r="R42" s="35"/>
      <c r="S42" s="36"/>
      <c r="T42" s="40">
        <f t="shared" si="5"/>
        <v>0</v>
      </c>
      <c r="U42" s="25">
        <v>1</v>
      </c>
      <c r="V42" s="25">
        <v>1</v>
      </c>
      <c r="W42" s="25">
        <v>0</v>
      </c>
      <c r="X42" s="25">
        <v>0</v>
      </c>
      <c r="Y42" s="42" t="str">
        <f>IF(AND($A$3&gt;0,$F$3&gt;0,$K$3=0,$P$3=0),$U$2&amp;$A$3&amp;$AA$31&amp;$U$3&amp;$F$3, "")</f>
        <v/>
      </c>
    </row>
    <row r="43" spans="1:25" hidden="1">
      <c r="A43" s="46">
        <v>29</v>
      </c>
      <c r="B43" s="47" t="s">
        <v>169</v>
      </c>
      <c r="C43" s="35"/>
      <c r="D43" s="36"/>
      <c r="E43" s="35"/>
      <c r="F43" s="46">
        <v>29</v>
      </c>
      <c r="G43" s="47" t="s">
        <v>169</v>
      </c>
      <c r="H43" s="35"/>
      <c r="I43" s="36"/>
      <c r="K43" s="46">
        <v>29</v>
      </c>
      <c r="L43" s="47" t="s">
        <v>169</v>
      </c>
      <c r="M43" s="35"/>
      <c r="N43" s="36"/>
      <c r="P43" s="46">
        <v>29</v>
      </c>
      <c r="Q43" s="47" t="s">
        <v>169</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170</v>
      </c>
      <c r="C44" s="35"/>
      <c r="D44" s="36"/>
      <c r="E44" s="35"/>
      <c r="F44" s="46">
        <v>30</v>
      </c>
      <c r="G44" s="47" t="s">
        <v>170</v>
      </c>
      <c r="H44" s="35"/>
      <c r="I44" s="36"/>
      <c r="K44" s="46">
        <v>30</v>
      </c>
      <c r="L44" s="47" t="s">
        <v>170</v>
      </c>
      <c r="M44" s="35"/>
      <c r="N44" s="36"/>
      <c r="P44" s="46">
        <v>30</v>
      </c>
      <c r="Q44" s="47" t="s">
        <v>170</v>
      </c>
      <c r="R44" s="35"/>
      <c r="S44" s="36"/>
      <c r="T44" s="40">
        <f t="shared" si="5"/>
        <v>0</v>
      </c>
      <c r="U44" s="25">
        <v>1</v>
      </c>
      <c r="V44" s="25">
        <v>1</v>
      </c>
      <c r="W44" s="25">
        <v>1</v>
      </c>
      <c r="X44" s="25">
        <v>0</v>
      </c>
      <c r="Y44" s="42" t="str">
        <f>IF(AND($A$3&gt;0,$F$3&gt;0,$K$3&gt;0,$P$3=0),$U$2&amp;$A$3&amp;$AA$31&amp;$U$3&amp;$F$3&amp;$AA$31&amp;$U$4&amp;$K$3, "")</f>
        <v/>
      </c>
    </row>
    <row r="45" spans="1:25" hidden="1">
      <c r="A45" s="46">
        <v>31</v>
      </c>
      <c r="B45" s="47" t="s">
        <v>171</v>
      </c>
      <c r="C45" s="35"/>
      <c r="D45" s="36"/>
      <c r="E45" s="35"/>
      <c r="F45" s="46">
        <v>31</v>
      </c>
      <c r="G45" s="47" t="s">
        <v>171</v>
      </c>
      <c r="H45" s="35"/>
      <c r="I45" s="36"/>
      <c r="K45" s="46">
        <v>31</v>
      </c>
      <c r="L45" s="47" t="s">
        <v>171</v>
      </c>
      <c r="M45" s="35"/>
      <c r="N45" s="36"/>
      <c r="P45" s="46">
        <v>31</v>
      </c>
      <c r="Q45" s="47" t="s">
        <v>171</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172</v>
      </c>
      <c r="C46" s="35"/>
      <c r="D46" s="36"/>
      <c r="E46" s="35"/>
      <c r="F46" s="46">
        <v>32</v>
      </c>
      <c r="G46" s="47" t="s">
        <v>172</v>
      </c>
      <c r="H46" s="35"/>
      <c r="I46" s="36"/>
      <c r="K46" s="46">
        <v>32</v>
      </c>
      <c r="L46" s="47" t="s">
        <v>172</v>
      </c>
      <c r="M46" s="35"/>
      <c r="N46" s="36"/>
      <c r="P46" s="46">
        <v>32</v>
      </c>
      <c r="Q46" s="47" t="s">
        <v>172</v>
      </c>
      <c r="R46" s="35"/>
      <c r="S46" s="36"/>
    </row>
    <row r="47" spans="1:25" hidden="1">
      <c r="A47" s="46">
        <v>33</v>
      </c>
      <c r="B47" s="47" t="s">
        <v>173</v>
      </c>
      <c r="C47" s="35"/>
      <c r="D47" s="36"/>
      <c r="E47" s="35"/>
      <c r="F47" s="46">
        <v>33</v>
      </c>
      <c r="G47" s="47" t="s">
        <v>173</v>
      </c>
      <c r="H47" s="35"/>
      <c r="I47" s="36"/>
      <c r="K47" s="46">
        <v>33</v>
      </c>
      <c r="L47" s="47" t="s">
        <v>173</v>
      </c>
      <c r="M47" s="35"/>
      <c r="N47" s="36"/>
      <c r="P47" s="46">
        <v>33</v>
      </c>
      <c r="Q47" s="47" t="s">
        <v>173</v>
      </c>
      <c r="R47" s="35"/>
      <c r="S47" s="36"/>
    </row>
    <row r="48" spans="1:25" hidden="1">
      <c r="A48" s="46">
        <v>34</v>
      </c>
      <c r="B48" s="47" t="s">
        <v>174</v>
      </c>
      <c r="C48" s="35"/>
      <c r="D48" s="36"/>
      <c r="E48" s="35"/>
      <c r="F48" s="46">
        <v>34</v>
      </c>
      <c r="G48" s="47" t="s">
        <v>174</v>
      </c>
      <c r="H48" s="35"/>
      <c r="I48" s="36"/>
      <c r="K48" s="46">
        <v>34</v>
      </c>
      <c r="L48" s="47" t="s">
        <v>174</v>
      </c>
      <c r="M48" s="35"/>
      <c r="N48" s="36"/>
      <c r="P48" s="46">
        <v>34</v>
      </c>
      <c r="Q48" s="47" t="s">
        <v>174</v>
      </c>
      <c r="R48" s="35"/>
      <c r="S48" s="36"/>
    </row>
    <row r="49" spans="1:19" hidden="1">
      <c r="A49" s="46">
        <v>35</v>
      </c>
      <c r="B49" s="47" t="s">
        <v>175</v>
      </c>
      <c r="C49" s="35"/>
      <c r="D49" s="36"/>
      <c r="E49" s="35"/>
      <c r="F49" s="46">
        <v>35</v>
      </c>
      <c r="G49" s="47" t="s">
        <v>175</v>
      </c>
      <c r="H49" s="35"/>
      <c r="I49" s="36"/>
      <c r="K49" s="46">
        <v>35</v>
      </c>
      <c r="L49" s="47" t="s">
        <v>175</v>
      </c>
      <c r="M49" s="35"/>
      <c r="N49" s="36"/>
      <c r="P49" s="46">
        <v>35</v>
      </c>
      <c r="Q49" s="47" t="s">
        <v>175</v>
      </c>
      <c r="R49" s="35"/>
      <c r="S49" s="36"/>
    </row>
    <row r="50" spans="1:19" hidden="1">
      <c r="A50" s="46">
        <v>36</v>
      </c>
      <c r="B50" s="47" t="s">
        <v>176</v>
      </c>
      <c r="C50" s="35"/>
      <c r="D50" s="36"/>
      <c r="E50" s="35"/>
      <c r="F50" s="46">
        <v>36</v>
      </c>
      <c r="G50" s="47" t="s">
        <v>176</v>
      </c>
      <c r="H50" s="35"/>
      <c r="I50" s="36"/>
      <c r="K50" s="46">
        <v>36</v>
      </c>
      <c r="L50" s="47" t="s">
        <v>176</v>
      </c>
      <c r="M50" s="35"/>
      <c r="N50" s="36"/>
      <c r="P50" s="46">
        <v>36</v>
      </c>
      <c r="Q50" s="47" t="s">
        <v>176</v>
      </c>
      <c r="R50" s="35"/>
      <c r="S50" s="36"/>
    </row>
    <row r="51" spans="1:19" hidden="1">
      <c r="A51" s="46">
        <v>37</v>
      </c>
      <c r="B51" s="47" t="s">
        <v>177</v>
      </c>
      <c r="C51" s="35"/>
      <c r="D51" s="36"/>
      <c r="E51" s="35"/>
      <c r="F51" s="46">
        <v>37</v>
      </c>
      <c r="G51" s="47" t="s">
        <v>177</v>
      </c>
      <c r="H51" s="35"/>
      <c r="I51" s="36"/>
      <c r="K51" s="46">
        <v>37</v>
      </c>
      <c r="L51" s="47" t="s">
        <v>177</v>
      </c>
      <c r="M51" s="35"/>
      <c r="N51" s="36"/>
      <c r="P51" s="46">
        <v>37</v>
      </c>
      <c r="Q51" s="47" t="s">
        <v>177</v>
      </c>
      <c r="R51" s="35"/>
      <c r="S51" s="36"/>
    </row>
    <row r="52" spans="1:19" hidden="1">
      <c r="A52" s="46">
        <v>38</v>
      </c>
      <c r="B52" s="47" t="s">
        <v>178</v>
      </c>
      <c r="C52" s="35"/>
      <c r="D52" s="36"/>
      <c r="E52" s="35"/>
      <c r="F52" s="46">
        <v>38</v>
      </c>
      <c r="G52" s="47" t="s">
        <v>178</v>
      </c>
      <c r="H52" s="35"/>
      <c r="I52" s="36"/>
      <c r="K52" s="46">
        <v>38</v>
      </c>
      <c r="L52" s="47" t="s">
        <v>178</v>
      </c>
      <c r="M52" s="35"/>
      <c r="N52" s="36"/>
      <c r="P52" s="46">
        <v>38</v>
      </c>
      <c r="Q52" s="47" t="s">
        <v>178</v>
      </c>
      <c r="R52" s="35"/>
      <c r="S52" s="36"/>
    </row>
    <row r="53" spans="1:19" hidden="1">
      <c r="A53" s="46">
        <v>39</v>
      </c>
      <c r="B53" s="47" t="s">
        <v>179</v>
      </c>
      <c r="C53" s="35"/>
      <c r="D53" s="36"/>
      <c r="E53" s="35"/>
      <c r="F53" s="46">
        <v>39</v>
      </c>
      <c r="G53" s="47" t="s">
        <v>179</v>
      </c>
      <c r="H53" s="35"/>
      <c r="I53" s="36"/>
      <c r="K53" s="46">
        <v>39</v>
      </c>
      <c r="L53" s="47" t="s">
        <v>179</v>
      </c>
      <c r="M53" s="35"/>
      <c r="N53" s="36"/>
      <c r="P53" s="46">
        <v>39</v>
      </c>
      <c r="Q53" s="47" t="s">
        <v>179</v>
      </c>
      <c r="R53" s="35"/>
      <c r="S53" s="36"/>
    </row>
    <row r="54" spans="1:19" hidden="1">
      <c r="A54" s="46">
        <v>40</v>
      </c>
      <c r="B54" s="47" t="s">
        <v>180</v>
      </c>
      <c r="C54" s="35"/>
      <c r="D54" s="36"/>
      <c r="E54" s="35"/>
      <c r="F54" s="46">
        <v>40</v>
      </c>
      <c r="G54" s="47" t="s">
        <v>180</v>
      </c>
      <c r="H54" s="35"/>
      <c r="I54" s="36"/>
      <c r="K54" s="46">
        <v>40</v>
      </c>
      <c r="L54" s="47" t="s">
        <v>180</v>
      </c>
      <c r="M54" s="35"/>
      <c r="N54" s="36"/>
      <c r="P54" s="46">
        <v>40</v>
      </c>
      <c r="Q54" s="47" t="s">
        <v>180</v>
      </c>
      <c r="R54" s="35"/>
      <c r="S54" s="36"/>
    </row>
    <row r="55" spans="1:19" hidden="1">
      <c r="A55" s="46">
        <v>41</v>
      </c>
      <c r="B55" s="47" t="s">
        <v>181</v>
      </c>
      <c r="C55" s="35"/>
      <c r="D55" s="36"/>
      <c r="E55" s="35"/>
      <c r="F55" s="46">
        <v>41</v>
      </c>
      <c r="G55" s="47" t="s">
        <v>181</v>
      </c>
      <c r="H55" s="35"/>
      <c r="I55" s="36"/>
      <c r="K55" s="46">
        <v>41</v>
      </c>
      <c r="L55" s="47" t="s">
        <v>181</v>
      </c>
      <c r="M55" s="35"/>
      <c r="N55" s="36"/>
      <c r="P55" s="46">
        <v>41</v>
      </c>
      <c r="Q55" s="47" t="s">
        <v>181</v>
      </c>
      <c r="R55" s="35"/>
      <c r="S55" s="36"/>
    </row>
    <row r="56" spans="1:19" hidden="1">
      <c r="A56" s="46">
        <v>42</v>
      </c>
      <c r="B56" s="47" t="s">
        <v>182</v>
      </c>
      <c r="C56" s="35"/>
      <c r="D56" s="36"/>
      <c r="E56" s="35"/>
      <c r="F56" s="46">
        <v>42</v>
      </c>
      <c r="G56" s="47" t="s">
        <v>182</v>
      </c>
      <c r="H56" s="35"/>
      <c r="I56" s="36"/>
      <c r="K56" s="46">
        <v>42</v>
      </c>
      <c r="L56" s="47" t="s">
        <v>182</v>
      </c>
      <c r="M56" s="35"/>
      <c r="N56" s="36"/>
      <c r="P56" s="46">
        <v>42</v>
      </c>
      <c r="Q56" s="47" t="s">
        <v>182</v>
      </c>
      <c r="R56" s="35"/>
      <c r="S56" s="36"/>
    </row>
    <row r="57" spans="1:19" hidden="1">
      <c r="A57" s="46">
        <v>43</v>
      </c>
      <c r="B57" s="47" t="s">
        <v>183</v>
      </c>
      <c r="C57" s="35"/>
      <c r="D57" s="36"/>
      <c r="E57" s="35"/>
      <c r="F57" s="46">
        <v>43</v>
      </c>
      <c r="G57" s="47" t="s">
        <v>183</v>
      </c>
      <c r="H57" s="35"/>
      <c r="I57" s="36"/>
      <c r="K57" s="46">
        <v>43</v>
      </c>
      <c r="L57" s="47" t="s">
        <v>183</v>
      </c>
      <c r="M57" s="35"/>
      <c r="N57" s="36"/>
      <c r="P57" s="46">
        <v>43</v>
      </c>
      <c r="Q57" s="47" t="s">
        <v>183</v>
      </c>
      <c r="R57" s="35"/>
      <c r="S57" s="36"/>
    </row>
    <row r="58" spans="1:19" hidden="1">
      <c r="A58" s="46">
        <v>44</v>
      </c>
      <c r="B58" s="47" t="s">
        <v>184</v>
      </c>
      <c r="C58" s="35"/>
      <c r="D58" s="36"/>
      <c r="E58" s="35"/>
      <c r="F58" s="46">
        <v>44</v>
      </c>
      <c r="G58" s="47" t="s">
        <v>184</v>
      </c>
      <c r="H58" s="35"/>
      <c r="I58" s="36"/>
      <c r="K58" s="46">
        <v>44</v>
      </c>
      <c r="L58" s="47" t="s">
        <v>184</v>
      </c>
      <c r="M58" s="35"/>
      <c r="N58" s="36"/>
      <c r="P58" s="46">
        <v>44</v>
      </c>
      <c r="Q58" s="47" t="s">
        <v>184</v>
      </c>
      <c r="R58" s="35"/>
      <c r="S58" s="36"/>
    </row>
    <row r="59" spans="1:19" hidden="1">
      <c r="A59" s="46">
        <v>45</v>
      </c>
      <c r="B59" s="47" t="s">
        <v>185</v>
      </c>
      <c r="C59" s="35"/>
      <c r="D59" s="36"/>
      <c r="E59" s="35"/>
      <c r="F59" s="46">
        <v>45</v>
      </c>
      <c r="G59" s="47" t="s">
        <v>185</v>
      </c>
      <c r="H59" s="35"/>
      <c r="I59" s="36"/>
      <c r="K59" s="46">
        <v>45</v>
      </c>
      <c r="L59" s="47" t="s">
        <v>185</v>
      </c>
      <c r="M59" s="35"/>
      <c r="N59" s="36"/>
      <c r="P59" s="46">
        <v>45</v>
      </c>
      <c r="Q59" s="47" t="s">
        <v>185</v>
      </c>
      <c r="R59" s="35"/>
      <c r="S59" s="36"/>
    </row>
    <row r="60" spans="1:19" hidden="1">
      <c r="A60" s="46">
        <v>46</v>
      </c>
      <c r="B60" s="47" t="s">
        <v>186</v>
      </c>
      <c r="C60" s="35"/>
      <c r="D60" s="36"/>
      <c r="E60" s="35"/>
      <c r="F60" s="46">
        <v>46</v>
      </c>
      <c r="G60" s="47" t="s">
        <v>186</v>
      </c>
      <c r="H60" s="35"/>
      <c r="I60" s="36"/>
      <c r="K60" s="46">
        <v>46</v>
      </c>
      <c r="L60" s="47" t="s">
        <v>186</v>
      </c>
      <c r="M60" s="35"/>
      <c r="N60" s="36"/>
      <c r="P60" s="46">
        <v>46</v>
      </c>
      <c r="Q60" s="47" t="s">
        <v>186</v>
      </c>
      <c r="R60" s="35"/>
      <c r="S60" s="36"/>
    </row>
    <row r="61" spans="1:19" hidden="1">
      <c r="A61" s="46">
        <v>47</v>
      </c>
      <c r="B61" s="47" t="s">
        <v>187</v>
      </c>
      <c r="C61" s="35"/>
      <c r="D61" s="36"/>
      <c r="E61" s="35"/>
      <c r="F61" s="46">
        <v>47</v>
      </c>
      <c r="G61" s="47" t="s">
        <v>187</v>
      </c>
      <c r="H61" s="35"/>
      <c r="I61" s="36"/>
      <c r="K61" s="46">
        <v>47</v>
      </c>
      <c r="L61" s="47" t="s">
        <v>187</v>
      </c>
      <c r="M61" s="35"/>
      <c r="N61" s="36"/>
      <c r="P61" s="46">
        <v>47</v>
      </c>
      <c r="Q61" s="47" t="s">
        <v>187</v>
      </c>
      <c r="R61" s="35"/>
      <c r="S61" s="36"/>
    </row>
    <row r="62" spans="1:19" hidden="1">
      <c r="A62" s="46">
        <v>48</v>
      </c>
      <c r="B62" s="47" t="s">
        <v>188</v>
      </c>
      <c r="C62" s="35"/>
      <c r="D62" s="36"/>
      <c r="E62" s="35"/>
      <c r="F62" s="46">
        <v>48</v>
      </c>
      <c r="G62" s="47" t="s">
        <v>188</v>
      </c>
      <c r="H62" s="35"/>
      <c r="I62" s="36"/>
      <c r="K62" s="46">
        <v>48</v>
      </c>
      <c r="L62" s="47" t="s">
        <v>188</v>
      </c>
      <c r="M62" s="35"/>
      <c r="N62" s="36"/>
      <c r="P62" s="46">
        <v>48</v>
      </c>
      <c r="Q62" s="47" t="s">
        <v>188</v>
      </c>
      <c r="R62" s="35"/>
      <c r="S62" s="36"/>
    </row>
    <row r="63" spans="1:19" hidden="1">
      <c r="A63" s="46">
        <v>49</v>
      </c>
      <c r="B63" s="47" t="s">
        <v>189</v>
      </c>
      <c r="C63" s="35"/>
      <c r="D63" s="36"/>
      <c r="E63" s="35"/>
      <c r="F63" s="46">
        <v>49</v>
      </c>
      <c r="G63" s="47" t="s">
        <v>189</v>
      </c>
      <c r="H63" s="35"/>
      <c r="I63" s="36"/>
      <c r="K63" s="46">
        <v>49</v>
      </c>
      <c r="L63" s="47" t="s">
        <v>189</v>
      </c>
      <c r="M63" s="35"/>
      <c r="N63" s="36"/>
      <c r="P63" s="46">
        <v>49</v>
      </c>
      <c r="Q63" s="47" t="s">
        <v>189</v>
      </c>
      <c r="R63" s="35"/>
      <c r="S63" s="36"/>
    </row>
    <row r="64" spans="1:19" hidden="1">
      <c r="A64" s="46">
        <v>50</v>
      </c>
      <c r="B64" s="47" t="s">
        <v>190</v>
      </c>
      <c r="C64" s="35"/>
      <c r="D64" s="36"/>
      <c r="E64" s="35"/>
      <c r="F64" s="46">
        <v>50</v>
      </c>
      <c r="G64" s="47" t="s">
        <v>190</v>
      </c>
      <c r="H64" s="35"/>
      <c r="I64" s="36"/>
      <c r="K64" s="46">
        <v>50</v>
      </c>
      <c r="L64" s="47" t="s">
        <v>190</v>
      </c>
      <c r="M64" s="35"/>
      <c r="N64" s="36"/>
      <c r="P64" s="46">
        <v>50</v>
      </c>
      <c r="Q64" s="47" t="s">
        <v>190</v>
      </c>
      <c r="R64" s="35"/>
      <c r="S64" s="36"/>
    </row>
    <row r="65" spans="1:19" hidden="1">
      <c r="A65" s="46">
        <v>51</v>
      </c>
      <c r="B65" s="47" t="s">
        <v>191</v>
      </c>
      <c r="C65" s="35"/>
      <c r="D65" s="36"/>
      <c r="E65" s="35"/>
      <c r="F65" s="46">
        <v>51</v>
      </c>
      <c r="G65" s="47" t="s">
        <v>191</v>
      </c>
      <c r="H65" s="35"/>
      <c r="I65" s="36"/>
      <c r="K65" s="46">
        <v>51</v>
      </c>
      <c r="L65" s="47" t="s">
        <v>191</v>
      </c>
      <c r="M65" s="35"/>
      <c r="N65" s="36"/>
      <c r="P65" s="46">
        <v>51</v>
      </c>
      <c r="Q65" s="47" t="s">
        <v>191</v>
      </c>
      <c r="R65" s="35"/>
      <c r="S65" s="36"/>
    </row>
    <row r="66" spans="1:19" hidden="1">
      <c r="A66" s="46">
        <v>52</v>
      </c>
      <c r="B66" s="47" t="s">
        <v>192</v>
      </c>
      <c r="C66" s="35"/>
      <c r="D66" s="36"/>
      <c r="E66" s="35"/>
      <c r="F66" s="46">
        <v>52</v>
      </c>
      <c r="G66" s="47" t="s">
        <v>192</v>
      </c>
      <c r="H66" s="35"/>
      <c r="I66" s="36"/>
      <c r="K66" s="46">
        <v>52</v>
      </c>
      <c r="L66" s="47" t="s">
        <v>192</v>
      </c>
      <c r="M66" s="35"/>
      <c r="N66" s="36"/>
      <c r="P66" s="46">
        <v>52</v>
      </c>
      <c r="Q66" s="47" t="s">
        <v>192</v>
      </c>
      <c r="R66" s="35"/>
      <c r="S66" s="36"/>
    </row>
    <row r="67" spans="1:19" hidden="1">
      <c r="A67" s="46">
        <v>53</v>
      </c>
      <c r="B67" s="47" t="s">
        <v>193</v>
      </c>
      <c r="C67" s="35"/>
      <c r="D67" s="36"/>
      <c r="E67" s="35"/>
      <c r="F67" s="46">
        <v>53</v>
      </c>
      <c r="G67" s="47" t="s">
        <v>193</v>
      </c>
      <c r="H67" s="35"/>
      <c r="I67" s="36"/>
      <c r="K67" s="46">
        <v>53</v>
      </c>
      <c r="L67" s="47" t="s">
        <v>193</v>
      </c>
      <c r="M67" s="35"/>
      <c r="N67" s="36"/>
      <c r="P67" s="46">
        <v>53</v>
      </c>
      <c r="Q67" s="47" t="s">
        <v>193</v>
      </c>
      <c r="R67" s="35"/>
      <c r="S67" s="36"/>
    </row>
    <row r="68" spans="1:19" hidden="1">
      <c r="A68" s="46">
        <v>54</v>
      </c>
      <c r="B68" s="47" t="s">
        <v>194</v>
      </c>
      <c r="C68" s="35"/>
      <c r="D68" s="36"/>
      <c r="E68" s="35"/>
      <c r="F68" s="46">
        <v>54</v>
      </c>
      <c r="G68" s="47" t="s">
        <v>194</v>
      </c>
      <c r="H68" s="35"/>
      <c r="I68" s="36"/>
      <c r="K68" s="46">
        <v>54</v>
      </c>
      <c r="L68" s="47" t="s">
        <v>194</v>
      </c>
      <c r="M68" s="35"/>
      <c r="N68" s="36"/>
      <c r="P68" s="46">
        <v>54</v>
      </c>
      <c r="Q68" s="47" t="s">
        <v>194</v>
      </c>
      <c r="R68" s="35"/>
      <c r="S68" s="36"/>
    </row>
    <row r="69" spans="1:19" hidden="1">
      <c r="A69" s="46">
        <v>55</v>
      </c>
      <c r="B69" s="47" t="s">
        <v>195</v>
      </c>
      <c r="C69" s="35"/>
      <c r="D69" s="36"/>
      <c r="E69" s="35"/>
      <c r="F69" s="46">
        <v>55</v>
      </c>
      <c r="G69" s="47" t="s">
        <v>195</v>
      </c>
      <c r="H69" s="35"/>
      <c r="I69" s="36"/>
      <c r="K69" s="46">
        <v>55</v>
      </c>
      <c r="L69" s="47" t="s">
        <v>195</v>
      </c>
      <c r="M69" s="35"/>
      <c r="N69" s="36"/>
      <c r="P69" s="46">
        <v>55</v>
      </c>
      <c r="Q69" s="47" t="s">
        <v>195</v>
      </c>
      <c r="R69" s="35"/>
      <c r="S69" s="36"/>
    </row>
    <row r="70" spans="1:19" hidden="1">
      <c r="A70" s="46">
        <v>56</v>
      </c>
      <c r="B70" s="47" t="s">
        <v>196</v>
      </c>
      <c r="C70" s="35"/>
      <c r="D70" s="36"/>
      <c r="E70" s="35"/>
      <c r="F70" s="46">
        <v>56</v>
      </c>
      <c r="G70" s="47" t="s">
        <v>196</v>
      </c>
      <c r="H70" s="35"/>
      <c r="I70" s="36"/>
      <c r="K70" s="46">
        <v>56</v>
      </c>
      <c r="L70" s="47" t="s">
        <v>196</v>
      </c>
      <c r="M70" s="35"/>
      <c r="N70" s="36"/>
      <c r="P70" s="46">
        <v>56</v>
      </c>
      <c r="Q70" s="47" t="s">
        <v>196</v>
      </c>
      <c r="R70" s="35"/>
      <c r="S70" s="36"/>
    </row>
    <row r="71" spans="1:19" hidden="1">
      <c r="A71" s="46">
        <v>57</v>
      </c>
      <c r="B71" s="47" t="s">
        <v>197</v>
      </c>
      <c r="C71" s="35"/>
      <c r="D71" s="36"/>
      <c r="E71" s="35"/>
      <c r="F71" s="46">
        <v>57</v>
      </c>
      <c r="G71" s="47" t="s">
        <v>197</v>
      </c>
      <c r="H71" s="35"/>
      <c r="I71" s="36"/>
      <c r="K71" s="46">
        <v>57</v>
      </c>
      <c r="L71" s="47" t="s">
        <v>197</v>
      </c>
      <c r="M71" s="35"/>
      <c r="N71" s="36"/>
      <c r="P71" s="46">
        <v>57</v>
      </c>
      <c r="Q71" s="47" t="s">
        <v>197</v>
      </c>
      <c r="R71" s="35"/>
      <c r="S71" s="36"/>
    </row>
    <row r="72" spans="1:19" hidden="1">
      <c r="A72" s="46">
        <v>58</v>
      </c>
      <c r="B72" s="47" t="s">
        <v>198</v>
      </c>
      <c r="C72" s="35"/>
      <c r="D72" s="36"/>
      <c r="E72" s="35"/>
      <c r="F72" s="46">
        <v>58</v>
      </c>
      <c r="G72" s="47" t="s">
        <v>198</v>
      </c>
      <c r="H72" s="35"/>
      <c r="I72" s="36"/>
      <c r="K72" s="46">
        <v>58</v>
      </c>
      <c r="L72" s="47" t="s">
        <v>198</v>
      </c>
      <c r="M72" s="35"/>
      <c r="N72" s="36"/>
      <c r="P72" s="46">
        <v>58</v>
      </c>
      <c r="Q72" s="47" t="s">
        <v>198</v>
      </c>
      <c r="R72" s="35"/>
      <c r="S72" s="36"/>
    </row>
    <row r="73" spans="1:19" hidden="1">
      <c r="A73" s="46">
        <v>59</v>
      </c>
      <c r="B73" s="47" t="s">
        <v>199</v>
      </c>
      <c r="C73" s="35"/>
      <c r="D73" s="36"/>
      <c r="E73" s="35"/>
      <c r="F73" s="46">
        <v>59</v>
      </c>
      <c r="G73" s="47" t="s">
        <v>199</v>
      </c>
      <c r="H73" s="35"/>
      <c r="I73" s="36"/>
      <c r="K73" s="46">
        <v>59</v>
      </c>
      <c r="L73" s="47" t="s">
        <v>199</v>
      </c>
      <c r="M73" s="35"/>
      <c r="N73" s="36"/>
      <c r="P73" s="46">
        <v>59</v>
      </c>
      <c r="Q73" s="47" t="s">
        <v>199</v>
      </c>
      <c r="R73" s="35"/>
      <c r="S73" s="36"/>
    </row>
    <row r="74" spans="1:19" hidden="1">
      <c r="A74" s="46">
        <v>60</v>
      </c>
      <c r="B74" s="47" t="s">
        <v>200</v>
      </c>
      <c r="C74" s="35"/>
      <c r="D74" s="36"/>
      <c r="E74" s="35"/>
      <c r="F74" s="46">
        <v>60</v>
      </c>
      <c r="G74" s="47" t="s">
        <v>200</v>
      </c>
      <c r="H74" s="35"/>
      <c r="I74" s="36"/>
      <c r="K74" s="46">
        <v>60</v>
      </c>
      <c r="L74" s="47" t="s">
        <v>200</v>
      </c>
      <c r="M74" s="35"/>
      <c r="N74" s="36"/>
      <c r="P74" s="46">
        <v>60</v>
      </c>
      <c r="Q74" s="47" t="s">
        <v>200</v>
      </c>
      <c r="R74" s="35"/>
      <c r="S74" s="36"/>
    </row>
    <row r="75" spans="1:19" hidden="1">
      <c r="A75" s="46">
        <v>61</v>
      </c>
      <c r="B75" s="47" t="s">
        <v>201</v>
      </c>
      <c r="C75" s="35"/>
      <c r="D75" s="36"/>
      <c r="E75" s="35"/>
      <c r="F75" s="46">
        <v>61</v>
      </c>
      <c r="G75" s="47" t="s">
        <v>201</v>
      </c>
      <c r="H75" s="35"/>
      <c r="I75" s="36"/>
      <c r="K75" s="46">
        <v>61</v>
      </c>
      <c r="L75" s="47" t="s">
        <v>201</v>
      </c>
      <c r="M75" s="35"/>
      <c r="N75" s="36"/>
      <c r="P75" s="46">
        <v>61</v>
      </c>
      <c r="Q75" s="47" t="s">
        <v>201</v>
      </c>
      <c r="R75" s="35"/>
      <c r="S75" s="36"/>
    </row>
    <row r="76" spans="1:19" hidden="1">
      <c r="A76" s="46">
        <v>62</v>
      </c>
      <c r="B76" s="47" t="s">
        <v>202</v>
      </c>
      <c r="C76" s="35"/>
      <c r="D76" s="36"/>
      <c r="E76" s="35"/>
      <c r="F76" s="46">
        <v>62</v>
      </c>
      <c r="G76" s="47" t="s">
        <v>202</v>
      </c>
      <c r="H76" s="35"/>
      <c r="I76" s="36"/>
      <c r="K76" s="46">
        <v>62</v>
      </c>
      <c r="L76" s="47" t="s">
        <v>202</v>
      </c>
      <c r="M76" s="35"/>
      <c r="N76" s="36"/>
      <c r="P76" s="46">
        <v>62</v>
      </c>
      <c r="Q76" s="47" t="s">
        <v>202</v>
      </c>
      <c r="R76" s="35"/>
      <c r="S76" s="36"/>
    </row>
    <row r="77" spans="1:19" hidden="1">
      <c r="A77" s="46">
        <v>63</v>
      </c>
      <c r="B77" s="47" t="s">
        <v>203</v>
      </c>
      <c r="C77" s="35"/>
      <c r="D77" s="36"/>
      <c r="E77" s="35"/>
      <c r="F77" s="46">
        <v>63</v>
      </c>
      <c r="G77" s="47" t="s">
        <v>203</v>
      </c>
      <c r="H77" s="35"/>
      <c r="I77" s="36"/>
      <c r="K77" s="46">
        <v>63</v>
      </c>
      <c r="L77" s="47" t="s">
        <v>203</v>
      </c>
      <c r="M77" s="35"/>
      <c r="N77" s="36"/>
      <c r="P77" s="46">
        <v>63</v>
      </c>
      <c r="Q77" s="47" t="s">
        <v>203</v>
      </c>
      <c r="R77" s="35"/>
      <c r="S77" s="36"/>
    </row>
    <row r="78" spans="1:19" hidden="1">
      <c r="A78" s="46">
        <v>64</v>
      </c>
      <c r="B78" s="47" t="s">
        <v>204</v>
      </c>
      <c r="C78" s="35"/>
      <c r="D78" s="36"/>
      <c r="E78" s="35"/>
      <c r="F78" s="46">
        <v>64</v>
      </c>
      <c r="G78" s="47" t="s">
        <v>204</v>
      </c>
      <c r="H78" s="35"/>
      <c r="I78" s="36"/>
      <c r="K78" s="46">
        <v>64</v>
      </c>
      <c r="L78" s="47" t="s">
        <v>204</v>
      </c>
      <c r="M78" s="35"/>
      <c r="N78" s="36"/>
      <c r="P78" s="46">
        <v>64</v>
      </c>
      <c r="Q78" s="47" t="s">
        <v>204</v>
      </c>
      <c r="R78" s="35"/>
      <c r="S78" s="36"/>
    </row>
    <row r="79" spans="1:19" hidden="1">
      <c r="A79" s="46">
        <v>65</v>
      </c>
      <c r="B79" s="47" t="s">
        <v>205</v>
      </c>
      <c r="C79" s="35"/>
      <c r="D79" s="36"/>
      <c r="E79" s="35"/>
      <c r="F79" s="46">
        <v>65</v>
      </c>
      <c r="G79" s="47" t="s">
        <v>205</v>
      </c>
      <c r="H79" s="35"/>
      <c r="I79" s="36"/>
      <c r="K79" s="46">
        <v>65</v>
      </c>
      <c r="L79" s="47" t="s">
        <v>205</v>
      </c>
      <c r="M79" s="35"/>
      <c r="N79" s="36"/>
      <c r="P79" s="46">
        <v>65</v>
      </c>
      <c r="Q79" s="47" t="s">
        <v>205</v>
      </c>
      <c r="R79" s="35"/>
      <c r="S79" s="36"/>
    </row>
    <row r="80" spans="1:19" hidden="1">
      <c r="A80" s="46">
        <v>66</v>
      </c>
      <c r="B80" s="47" t="s">
        <v>206</v>
      </c>
      <c r="C80" s="35"/>
      <c r="D80" s="36"/>
      <c r="E80" s="35"/>
      <c r="F80" s="46">
        <v>66</v>
      </c>
      <c r="G80" s="47" t="s">
        <v>206</v>
      </c>
      <c r="H80" s="35"/>
      <c r="I80" s="36"/>
      <c r="K80" s="46">
        <v>66</v>
      </c>
      <c r="L80" s="47" t="s">
        <v>206</v>
      </c>
      <c r="M80" s="35"/>
      <c r="N80" s="36"/>
      <c r="P80" s="46">
        <v>66</v>
      </c>
      <c r="Q80" s="47" t="s">
        <v>206</v>
      </c>
      <c r="R80" s="35"/>
      <c r="S80" s="36"/>
    </row>
    <row r="81" spans="1:19" hidden="1">
      <c r="A81" s="46">
        <v>67</v>
      </c>
      <c r="B81" s="47" t="s">
        <v>207</v>
      </c>
      <c r="C81" s="35"/>
      <c r="D81" s="36"/>
      <c r="E81" s="35"/>
      <c r="F81" s="46">
        <v>67</v>
      </c>
      <c r="G81" s="47" t="s">
        <v>207</v>
      </c>
      <c r="H81" s="35"/>
      <c r="I81" s="36"/>
      <c r="K81" s="46">
        <v>67</v>
      </c>
      <c r="L81" s="47" t="s">
        <v>207</v>
      </c>
      <c r="M81" s="35"/>
      <c r="N81" s="36"/>
      <c r="P81" s="46">
        <v>67</v>
      </c>
      <c r="Q81" s="47" t="s">
        <v>207</v>
      </c>
      <c r="R81" s="35"/>
      <c r="S81" s="36"/>
    </row>
    <row r="82" spans="1:19" hidden="1">
      <c r="A82" s="46">
        <v>68</v>
      </c>
      <c r="B82" s="47" t="s">
        <v>208</v>
      </c>
      <c r="C82" s="35"/>
      <c r="D82" s="36"/>
      <c r="E82" s="35"/>
      <c r="F82" s="46">
        <v>68</v>
      </c>
      <c r="G82" s="47" t="s">
        <v>208</v>
      </c>
      <c r="H82" s="35"/>
      <c r="I82" s="36"/>
      <c r="K82" s="46">
        <v>68</v>
      </c>
      <c r="L82" s="47" t="s">
        <v>208</v>
      </c>
      <c r="M82" s="35"/>
      <c r="N82" s="36"/>
      <c r="P82" s="46">
        <v>68</v>
      </c>
      <c r="Q82" s="47" t="s">
        <v>208</v>
      </c>
      <c r="R82" s="35"/>
      <c r="S82" s="36"/>
    </row>
    <row r="83" spans="1:19" hidden="1">
      <c r="A83" s="46">
        <v>69</v>
      </c>
      <c r="B83" s="47" t="s">
        <v>209</v>
      </c>
      <c r="C83" s="35"/>
      <c r="D83" s="36"/>
      <c r="E83" s="35"/>
      <c r="F83" s="46">
        <v>69</v>
      </c>
      <c r="G83" s="47" t="s">
        <v>209</v>
      </c>
      <c r="H83" s="35"/>
      <c r="I83" s="36"/>
      <c r="K83" s="46">
        <v>69</v>
      </c>
      <c r="L83" s="47" t="s">
        <v>209</v>
      </c>
      <c r="M83" s="35"/>
      <c r="N83" s="36"/>
      <c r="P83" s="46">
        <v>69</v>
      </c>
      <c r="Q83" s="47" t="s">
        <v>209</v>
      </c>
      <c r="R83" s="35"/>
      <c r="S83" s="36"/>
    </row>
    <row r="84" spans="1:19" hidden="1">
      <c r="A84" s="46">
        <v>70</v>
      </c>
      <c r="B84" s="47" t="s">
        <v>210</v>
      </c>
      <c r="C84" s="35"/>
      <c r="D84" s="36"/>
      <c r="E84" s="35"/>
      <c r="F84" s="46">
        <v>70</v>
      </c>
      <c r="G84" s="47" t="s">
        <v>210</v>
      </c>
      <c r="H84" s="35"/>
      <c r="I84" s="36"/>
      <c r="K84" s="46">
        <v>70</v>
      </c>
      <c r="L84" s="47" t="s">
        <v>210</v>
      </c>
      <c r="M84" s="35"/>
      <c r="N84" s="36"/>
      <c r="P84" s="46">
        <v>70</v>
      </c>
      <c r="Q84" s="47" t="s">
        <v>210</v>
      </c>
      <c r="R84" s="35"/>
      <c r="S84" s="36"/>
    </row>
    <row r="85" spans="1:19" hidden="1">
      <c r="A85" s="46">
        <v>71</v>
      </c>
      <c r="B85" s="47" t="s">
        <v>211</v>
      </c>
      <c r="C85" s="35"/>
      <c r="D85" s="36"/>
      <c r="E85" s="35"/>
      <c r="F85" s="46">
        <v>71</v>
      </c>
      <c r="G85" s="47" t="s">
        <v>211</v>
      </c>
      <c r="H85" s="35"/>
      <c r="I85" s="36"/>
      <c r="K85" s="46">
        <v>71</v>
      </c>
      <c r="L85" s="47" t="s">
        <v>211</v>
      </c>
      <c r="M85" s="35"/>
      <c r="N85" s="36"/>
      <c r="P85" s="46">
        <v>71</v>
      </c>
      <c r="Q85" s="47" t="s">
        <v>211</v>
      </c>
      <c r="R85" s="35"/>
      <c r="S85" s="36"/>
    </row>
    <row r="86" spans="1:19" hidden="1">
      <c r="A86" s="46">
        <v>72</v>
      </c>
      <c r="B86" s="47" t="s">
        <v>212</v>
      </c>
      <c r="C86" s="35"/>
      <c r="D86" s="36"/>
      <c r="E86" s="35"/>
      <c r="F86" s="46">
        <v>72</v>
      </c>
      <c r="G86" s="47" t="s">
        <v>212</v>
      </c>
      <c r="H86" s="35"/>
      <c r="I86" s="36"/>
      <c r="K86" s="46">
        <v>72</v>
      </c>
      <c r="L86" s="47" t="s">
        <v>212</v>
      </c>
      <c r="M86" s="35"/>
      <c r="N86" s="36"/>
      <c r="P86" s="46">
        <v>72</v>
      </c>
      <c r="Q86" s="47" t="s">
        <v>212</v>
      </c>
      <c r="R86" s="35"/>
      <c r="S86" s="36"/>
    </row>
    <row r="87" spans="1:19" hidden="1">
      <c r="A87" s="46">
        <v>73</v>
      </c>
      <c r="B87" s="47" t="s">
        <v>213</v>
      </c>
      <c r="C87" s="35"/>
      <c r="D87" s="36"/>
      <c r="E87" s="35"/>
      <c r="F87" s="46">
        <v>73</v>
      </c>
      <c r="G87" s="47" t="s">
        <v>213</v>
      </c>
      <c r="H87" s="35"/>
      <c r="I87" s="36"/>
      <c r="K87" s="46">
        <v>73</v>
      </c>
      <c r="L87" s="47" t="s">
        <v>213</v>
      </c>
      <c r="M87" s="35"/>
      <c r="N87" s="36"/>
      <c r="P87" s="46">
        <v>73</v>
      </c>
      <c r="Q87" s="47" t="s">
        <v>213</v>
      </c>
      <c r="R87" s="35"/>
      <c r="S87" s="36"/>
    </row>
    <row r="88" spans="1:19" hidden="1">
      <c r="A88" s="46">
        <v>74</v>
      </c>
      <c r="B88" s="47" t="s">
        <v>214</v>
      </c>
      <c r="C88" s="35"/>
      <c r="D88" s="36"/>
      <c r="E88" s="35"/>
      <c r="F88" s="46">
        <v>74</v>
      </c>
      <c r="G88" s="47" t="s">
        <v>214</v>
      </c>
      <c r="H88" s="35"/>
      <c r="I88" s="36"/>
      <c r="K88" s="46">
        <v>74</v>
      </c>
      <c r="L88" s="47" t="s">
        <v>214</v>
      </c>
      <c r="M88" s="35"/>
      <c r="N88" s="36"/>
      <c r="P88" s="46">
        <v>74</v>
      </c>
      <c r="Q88" s="47" t="s">
        <v>214</v>
      </c>
      <c r="R88" s="35"/>
      <c r="S88" s="36"/>
    </row>
    <row r="89" spans="1:19" hidden="1">
      <c r="A89" s="46">
        <v>75</v>
      </c>
      <c r="B89" s="47" t="s">
        <v>215</v>
      </c>
      <c r="C89" s="35"/>
      <c r="D89" s="36"/>
      <c r="E89" s="35"/>
      <c r="F89" s="46">
        <v>75</v>
      </c>
      <c r="G89" s="47" t="s">
        <v>215</v>
      </c>
      <c r="H89" s="35"/>
      <c r="I89" s="36"/>
      <c r="K89" s="46">
        <v>75</v>
      </c>
      <c r="L89" s="47" t="s">
        <v>215</v>
      </c>
      <c r="M89" s="35"/>
      <c r="N89" s="36"/>
      <c r="P89" s="46">
        <v>75</v>
      </c>
      <c r="Q89" s="47" t="s">
        <v>215</v>
      </c>
      <c r="R89" s="35"/>
      <c r="S89" s="36"/>
    </row>
    <row r="90" spans="1:19" hidden="1">
      <c r="A90" s="46">
        <v>76</v>
      </c>
      <c r="B90" s="47" t="s">
        <v>216</v>
      </c>
      <c r="C90" s="35"/>
      <c r="D90" s="36"/>
      <c r="E90" s="35"/>
      <c r="F90" s="46">
        <v>76</v>
      </c>
      <c r="G90" s="47" t="s">
        <v>216</v>
      </c>
      <c r="H90" s="35"/>
      <c r="I90" s="36"/>
      <c r="K90" s="46">
        <v>76</v>
      </c>
      <c r="L90" s="47" t="s">
        <v>216</v>
      </c>
      <c r="M90" s="35"/>
      <c r="N90" s="36"/>
      <c r="P90" s="46">
        <v>76</v>
      </c>
      <c r="Q90" s="47" t="s">
        <v>216</v>
      </c>
      <c r="R90" s="35"/>
      <c r="S90" s="36"/>
    </row>
    <row r="91" spans="1:19" hidden="1">
      <c r="A91" s="46">
        <v>77</v>
      </c>
      <c r="B91" s="47" t="s">
        <v>217</v>
      </c>
      <c r="C91" s="35"/>
      <c r="D91" s="36"/>
      <c r="E91" s="35"/>
      <c r="F91" s="46">
        <v>77</v>
      </c>
      <c r="G91" s="47" t="s">
        <v>217</v>
      </c>
      <c r="H91" s="35"/>
      <c r="I91" s="36"/>
      <c r="K91" s="46">
        <v>77</v>
      </c>
      <c r="L91" s="47" t="s">
        <v>217</v>
      </c>
      <c r="M91" s="35"/>
      <c r="N91" s="36"/>
      <c r="P91" s="46">
        <v>77</v>
      </c>
      <c r="Q91" s="47" t="s">
        <v>217</v>
      </c>
      <c r="R91" s="35"/>
      <c r="S91" s="36"/>
    </row>
    <row r="92" spans="1:19" hidden="1">
      <c r="A92" s="46">
        <v>78</v>
      </c>
      <c r="B92" s="47" t="s">
        <v>218</v>
      </c>
      <c r="C92" s="35"/>
      <c r="D92" s="36"/>
      <c r="E92" s="35"/>
      <c r="F92" s="46">
        <v>78</v>
      </c>
      <c r="G92" s="47" t="s">
        <v>218</v>
      </c>
      <c r="H92" s="35"/>
      <c r="I92" s="36"/>
      <c r="K92" s="46">
        <v>78</v>
      </c>
      <c r="L92" s="47" t="s">
        <v>218</v>
      </c>
      <c r="M92" s="35"/>
      <c r="N92" s="36"/>
      <c r="P92" s="46">
        <v>78</v>
      </c>
      <c r="Q92" s="47" t="s">
        <v>218</v>
      </c>
      <c r="R92" s="35"/>
      <c r="S92" s="36"/>
    </row>
    <row r="93" spans="1:19" hidden="1">
      <c r="A93" s="46">
        <v>79</v>
      </c>
      <c r="B93" s="47" t="s">
        <v>219</v>
      </c>
      <c r="C93" s="35"/>
      <c r="D93" s="36"/>
      <c r="E93" s="35"/>
      <c r="F93" s="46">
        <v>79</v>
      </c>
      <c r="G93" s="47" t="s">
        <v>219</v>
      </c>
      <c r="H93" s="35"/>
      <c r="I93" s="36"/>
      <c r="K93" s="46">
        <v>79</v>
      </c>
      <c r="L93" s="47" t="s">
        <v>219</v>
      </c>
      <c r="M93" s="35"/>
      <c r="N93" s="36"/>
      <c r="P93" s="46">
        <v>79</v>
      </c>
      <c r="Q93" s="47" t="s">
        <v>219</v>
      </c>
      <c r="R93" s="35"/>
      <c r="S93" s="36"/>
    </row>
    <row r="94" spans="1:19" hidden="1">
      <c r="A94" s="46">
        <v>80</v>
      </c>
      <c r="B94" s="47" t="s">
        <v>220</v>
      </c>
      <c r="C94" s="35"/>
      <c r="D94" s="36"/>
      <c r="E94" s="35"/>
      <c r="F94" s="46">
        <v>80</v>
      </c>
      <c r="G94" s="47" t="s">
        <v>220</v>
      </c>
      <c r="H94" s="35"/>
      <c r="I94" s="36"/>
      <c r="K94" s="46">
        <v>80</v>
      </c>
      <c r="L94" s="47" t="s">
        <v>220</v>
      </c>
      <c r="M94" s="35"/>
      <c r="N94" s="36"/>
      <c r="P94" s="46">
        <v>80</v>
      </c>
      <c r="Q94" s="47" t="s">
        <v>220</v>
      </c>
      <c r="R94" s="35"/>
      <c r="S94" s="36"/>
    </row>
    <row r="95" spans="1:19" hidden="1">
      <c r="A95" s="46">
        <v>81</v>
      </c>
      <c r="B95" s="47" t="s">
        <v>221</v>
      </c>
      <c r="C95" s="35"/>
      <c r="D95" s="36"/>
      <c r="E95" s="35"/>
      <c r="F95" s="46">
        <v>81</v>
      </c>
      <c r="G95" s="47" t="s">
        <v>221</v>
      </c>
      <c r="H95" s="35"/>
      <c r="I95" s="36"/>
      <c r="K95" s="46">
        <v>81</v>
      </c>
      <c r="L95" s="47" t="s">
        <v>221</v>
      </c>
      <c r="M95" s="35"/>
      <c r="N95" s="36"/>
      <c r="P95" s="46">
        <v>81</v>
      </c>
      <c r="Q95" s="47" t="s">
        <v>221</v>
      </c>
      <c r="R95" s="35"/>
      <c r="S95" s="36"/>
    </row>
    <row r="96" spans="1:19" hidden="1">
      <c r="A96" s="46">
        <v>82</v>
      </c>
      <c r="B96" s="47" t="s">
        <v>222</v>
      </c>
      <c r="C96" s="35"/>
      <c r="D96" s="36"/>
      <c r="E96" s="35"/>
      <c r="F96" s="46">
        <v>82</v>
      </c>
      <c r="G96" s="47" t="s">
        <v>222</v>
      </c>
      <c r="H96" s="35"/>
      <c r="I96" s="36"/>
      <c r="K96" s="46">
        <v>82</v>
      </c>
      <c r="L96" s="47" t="s">
        <v>222</v>
      </c>
      <c r="M96" s="35"/>
      <c r="N96" s="36"/>
      <c r="P96" s="46">
        <v>82</v>
      </c>
      <c r="Q96" s="47" t="s">
        <v>222</v>
      </c>
      <c r="R96" s="35"/>
      <c r="S96" s="36"/>
    </row>
    <row r="97" spans="1:19" hidden="1">
      <c r="A97" s="46">
        <v>83</v>
      </c>
      <c r="B97" s="47" t="s">
        <v>223</v>
      </c>
      <c r="C97" s="35"/>
      <c r="D97" s="36"/>
      <c r="E97" s="35"/>
      <c r="F97" s="46">
        <v>83</v>
      </c>
      <c r="G97" s="47" t="s">
        <v>223</v>
      </c>
      <c r="H97" s="35"/>
      <c r="I97" s="36"/>
      <c r="K97" s="46">
        <v>83</v>
      </c>
      <c r="L97" s="47" t="s">
        <v>223</v>
      </c>
      <c r="M97" s="35"/>
      <c r="N97" s="36"/>
      <c r="P97" s="46">
        <v>83</v>
      </c>
      <c r="Q97" s="47" t="s">
        <v>223</v>
      </c>
      <c r="R97" s="35"/>
      <c r="S97" s="36"/>
    </row>
    <row r="98" spans="1:19" hidden="1">
      <c r="A98" s="46">
        <v>84</v>
      </c>
      <c r="B98" s="47" t="s">
        <v>224</v>
      </c>
      <c r="C98" s="35"/>
      <c r="D98" s="36"/>
      <c r="E98" s="35"/>
      <c r="F98" s="46">
        <v>84</v>
      </c>
      <c r="G98" s="47" t="s">
        <v>224</v>
      </c>
      <c r="H98" s="35"/>
      <c r="I98" s="36"/>
      <c r="K98" s="46">
        <v>84</v>
      </c>
      <c r="L98" s="47" t="s">
        <v>224</v>
      </c>
      <c r="M98" s="35"/>
      <c r="N98" s="36"/>
      <c r="P98" s="46">
        <v>84</v>
      </c>
      <c r="Q98" s="47" t="s">
        <v>224</v>
      </c>
      <c r="R98" s="35"/>
      <c r="S98" s="36"/>
    </row>
    <row r="99" spans="1:19" hidden="1">
      <c r="A99" s="46">
        <v>85</v>
      </c>
      <c r="B99" s="47" t="s">
        <v>225</v>
      </c>
      <c r="C99" s="35"/>
      <c r="D99" s="36"/>
      <c r="E99" s="35"/>
      <c r="F99" s="46">
        <v>85</v>
      </c>
      <c r="G99" s="47" t="s">
        <v>225</v>
      </c>
      <c r="H99" s="35"/>
      <c r="I99" s="36"/>
      <c r="K99" s="46">
        <v>85</v>
      </c>
      <c r="L99" s="47" t="s">
        <v>225</v>
      </c>
      <c r="M99" s="35"/>
      <c r="N99" s="36"/>
      <c r="P99" s="46">
        <v>85</v>
      </c>
      <c r="Q99" s="47" t="s">
        <v>225</v>
      </c>
      <c r="R99" s="35"/>
      <c r="S99" s="36"/>
    </row>
    <row r="100" spans="1:19" hidden="1">
      <c r="A100" s="46">
        <v>86</v>
      </c>
      <c r="B100" s="47" t="s">
        <v>226</v>
      </c>
      <c r="C100" s="35"/>
      <c r="D100" s="36"/>
      <c r="E100" s="35"/>
      <c r="F100" s="46">
        <v>86</v>
      </c>
      <c r="G100" s="47" t="s">
        <v>226</v>
      </c>
      <c r="H100" s="35"/>
      <c r="I100" s="36"/>
      <c r="K100" s="46">
        <v>86</v>
      </c>
      <c r="L100" s="47" t="s">
        <v>226</v>
      </c>
      <c r="M100" s="35"/>
      <c r="N100" s="36"/>
      <c r="P100" s="46">
        <v>86</v>
      </c>
      <c r="Q100" s="47" t="s">
        <v>226</v>
      </c>
      <c r="R100" s="35"/>
      <c r="S100" s="36"/>
    </row>
    <row r="101" spans="1:19" hidden="1">
      <c r="A101" s="46">
        <v>87</v>
      </c>
      <c r="B101" s="47" t="s">
        <v>227</v>
      </c>
      <c r="C101" s="35"/>
      <c r="D101" s="36"/>
      <c r="E101" s="35"/>
      <c r="F101" s="46">
        <v>87</v>
      </c>
      <c r="G101" s="47" t="s">
        <v>227</v>
      </c>
      <c r="H101" s="35"/>
      <c r="I101" s="36"/>
      <c r="K101" s="46">
        <v>87</v>
      </c>
      <c r="L101" s="47" t="s">
        <v>227</v>
      </c>
      <c r="M101" s="35"/>
      <c r="N101" s="36"/>
      <c r="P101" s="46">
        <v>87</v>
      </c>
      <c r="Q101" s="47" t="s">
        <v>227</v>
      </c>
      <c r="R101" s="35"/>
      <c r="S101" s="36"/>
    </row>
    <row r="102" spans="1:19" hidden="1">
      <c r="A102" s="46">
        <v>88</v>
      </c>
      <c r="B102" s="47" t="s">
        <v>228</v>
      </c>
      <c r="C102" s="35"/>
      <c r="D102" s="36"/>
      <c r="E102" s="35"/>
      <c r="F102" s="46">
        <v>88</v>
      </c>
      <c r="G102" s="47" t="s">
        <v>228</v>
      </c>
      <c r="H102" s="35"/>
      <c r="I102" s="36"/>
      <c r="K102" s="46">
        <v>88</v>
      </c>
      <c r="L102" s="47" t="s">
        <v>228</v>
      </c>
      <c r="M102" s="35"/>
      <c r="N102" s="36"/>
      <c r="P102" s="46">
        <v>88</v>
      </c>
      <c r="Q102" s="47" t="s">
        <v>228</v>
      </c>
      <c r="R102" s="35"/>
      <c r="S102" s="36"/>
    </row>
    <row r="103" spans="1:19" hidden="1">
      <c r="A103" s="46">
        <v>89</v>
      </c>
      <c r="B103" s="47" t="s">
        <v>229</v>
      </c>
      <c r="C103" s="35"/>
      <c r="D103" s="36"/>
      <c r="E103" s="35"/>
      <c r="F103" s="46">
        <v>89</v>
      </c>
      <c r="G103" s="47" t="s">
        <v>229</v>
      </c>
      <c r="H103" s="35"/>
      <c r="I103" s="36"/>
      <c r="K103" s="46">
        <v>89</v>
      </c>
      <c r="L103" s="47" t="s">
        <v>229</v>
      </c>
      <c r="M103" s="35"/>
      <c r="N103" s="36"/>
      <c r="P103" s="46">
        <v>89</v>
      </c>
      <c r="Q103" s="47" t="s">
        <v>229</v>
      </c>
      <c r="R103" s="35"/>
      <c r="S103" s="36"/>
    </row>
    <row r="104" spans="1:19" hidden="1">
      <c r="A104" s="46">
        <v>90</v>
      </c>
      <c r="B104" s="47" t="s">
        <v>230</v>
      </c>
      <c r="C104" s="35"/>
      <c r="D104" s="36"/>
      <c r="E104" s="35"/>
      <c r="F104" s="46">
        <v>90</v>
      </c>
      <c r="G104" s="47" t="s">
        <v>230</v>
      </c>
      <c r="H104" s="35"/>
      <c r="I104" s="36"/>
      <c r="K104" s="46">
        <v>90</v>
      </c>
      <c r="L104" s="47" t="s">
        <v>230</v>
      </c>
      <c r="M104" s="35"/>
      <c r="N104" s="36"/>
      <c r="P104" s="46">
        <v>90</v>
      </c>
      <c r="Q104" s="47" t="s">
        <v>230</v>
      </c>
      <c r="R104" s="35"/>
      <c r="S104" s="36"/>
    </row>
    <row r="105" spans="1:19" hidden="1">
      <c r="A105" s="46">
        <v>91</v>
      </c>
      <c r="B105" s="47" t="s">
        <v>231</v>
      </c>
      <c r="C105" s="35"/>
      <c r="D105" s="36"/>
      <c r="E105" s="35"/>
      <c r="F105" s="46">
        <v>91</v>
      </c>
      <c r="G105" s="47" t="s">
        <v>231</v>
      </c>
      <c r="H105" s="35"/>
      <c r="I105" s="36"/>
      <c r="K105" s="46">
        <v>91</v>
      </c>
      <c r="L105" s="47" t="s">
        <v>231</v>
      </c>
      <c r="M105" s="35"/>
      <c r="N105" s="36"/>
      <c r="P105" s="46">
        <v>91</v>
      </c>
      <c r="Q105" s="47" t="s">
        <v>231</v>
      </c>
      <c r="R105" s="35"/>
      <c r="S105" s="36"/>
    </row>
    <row r="106" spans="1:19" hidden="1">
      <c r="A106" s="46">
        <v>92</v>
      </c>
      <c r="B106" s="47" t="s">
        <v>232</v>
      </c>
      <c r="C106" s="35"/>
      <c r="D106" s="36"/>
      <c r="E106" s="35"/>
      <c r="F106" s="46">
        <v>92</v>
      </c>
      <c r="G106" s="47" t="s">
        <v>232</v>
      </c>
      <c r="H106" s="35"/>
      <c r="I106" s="36"/>
      <c r="K106" s="46">
        <v>92</v>
      </c>
      <c r="L106" s="47" t="s">
        <v>232</v>
      </c>
      <c r="M106" s="35"/>
      <c r="N106" s="36"/>
      <c r="P106" s="46">
        <v>92</v>
      </c>
      <c r="Q106" s="47" t="s">
        <v>232</v>
      </c>
      <c r="R106" s="35"/>
      <c r="S106" s="36"/>
    </row>
    <row r="107" spans="1:19" hidden="1">
      <c r="A107" s="46">
        <v>93</v>
      </c>
      <c r="B107" s="47" t="s">
        <v>233</v>
      </c>
      <c r="C107" s="35"/>
      <c r="D107" s="36"/>
      <c r="E107" s="35"/>
      <c r="F107" s="46">
        <v>93</v>
      </c>
      <c r="G107" s="47" t="s">
        <v>233</v>
      </c>
      <c r="H107" s="35"/>
      <c r="I107" s="36"/>
      <c r="K107" s="46">
        <v>93</v>
      </c>
      <c r="L107" s="47" t="s">
        <v>233</v>
      </c>
      <c r="M107" s="35"/>
      <c r="N107" s="36"/>
      <c r="P107" s="46">
        <v>93</v>
      </c>
      <c r="Q107" s="47" t="s">
        <v>233</v>
      </c>
      <c r="R107" s="35"/>
      <c r="S107" s="36"/>
    </row>
    <row r="108" spans="1:19" hidden="1">
      <c r="A108" s="46">
        <v>94</v>
      </c>
      <c r="B108" s="47" t="s">
        <v>234</v>
      </c>
      <c r="C108" s="35"/>
      <c r="D108" s="36"/>
      <c r="E108" s="35"/>
      <c r="F108" s="46">
        <v>94</v>
      </c>
      <c r="G108" s="47" t="s">
        <v>234</v>
      </c>
      <c r="H108" s="35"/>
      <c r="I108" s="36"/>
      <c r="K108" s="46">
        <v>94</v>
      </c>
      <c r="L108" s="47" t="s">
        <v>234</v>
      </c>
      <c r="M108" s="35"/>
      <c r="N108" s="36"/>
      <c r="P108" s="46">
        <v>94</v>
      </c>
      <c r="Q108" s="47" t="s">
        <v>234</v>
      </c>
      <c r="R108" s="35"/>
      <c r="S108" s="36"/>
    </row>
    <row r="109" spans="1:19" hidden="1">
      <c r="A109" s="46">
        <v>95</v>
      </c>
      <c r="B109" s="47" t="s">
        <v>235</v>
      </c>
      <c r="C109" s="35"/>
      <c r="D109" s="36"/>
      <c r="E109" s="35"/>
      <c r="F109" s="46">
        <v>95</v>
      </c>
      <c r="G109" s="47" t="s">
        <v>235</v>
      </c>
      <c r="H109" s="35"/>
      <c r="I109" s="36"/>
      <c r="K109" s="46">
        <v>95</v>
      </c>
      <c r="L109" s="47" t="s">
        <v>235</v>
      </c>
      <c r="M109" s="35"/>
      <c r="N109" s="36"/>
      <c r="P109" s="46">
        <v>95</v>
      </c>
      <c r="Q109" s="47" t="s">
        <v>235</v>
      </c>
      <c r="R109" s="35"/>
      <c r="S109" s="36"/>
    </row>
    <row r="110" spans="1:19" hidden="1">
      <c r="A110" s="46">
        <v>96</v>
      </c>
      <c r="B110" s="47" t="s">
        <v>236</v>
      </c>
      <c r="C110" s="35"/>
      <c r="D110" s="36"/>
      <c r="E110" s="35"/>
      <c r="F110" s="46">
        <v>96</v>
      </c>
      <c r="G110" s="47" t="s">
        <v>236</v>
      </c>
      <c r="H110" s="35"/>
      <c r="I110" s="36"/>
      <c r="K110" s="46">
        <v>96</v>
      </c>
      <c r="L110" s="47" t="s">
        <v>236</v>
      </c>
      <c r="M110" s="35"/>
      <c r="N110" s="36"/>
      <c r="P110" s="46">
        <v>96</v>
      </c>
      <c r="Q110" s="47" t="s">
        <v>236</v>
      </c>
      <c r="R110" s="35"/>
      <c r="S110" s="36"/>
    </row>
    <row r="111" spans="1:19" hidden="1">
      <c r="A111" s="46">
        <v>97</v>
      </c>
      <c r="B111" s="47" t="s">
        <v>237</v>
      </c>
      <c r="C111" s="35"/>
      <c r="D111" s="36"/>
      <c r="E111" s="35"/>
      <c r="F111" s="46">
        <v>97</v>
      </c>
      <c r="G111" s="47" t="s">
        <v>237</v>
      </c>
      <c r="H111" s="35"/>
      <c r="I111" s="36"/>
      <c r="K111" s="46">
        <v>97</v>
      </c>
      <c r="L111" s="47" t="s">
        <v>237</v>
      </c>
      <c r="M111" s="35"/>
      <c r="N111" s="36"/>
      <c r="P111" s="46">
        <v>97</v>
      </c>
      <c r="Q111" s="47" t="s">
        <v>237</v>
      </c>
      <c r="R111" s="35"/>
      <c r="S111" s="36"/>
    </row>
    <row r="112" spans="1:19" hidden="1">
      <c r="A112" s="46">
        <v>98</v>
      </c>
      <c r="B112" s="47" t="s">
        <v>238</v>
      </c>
      <c r="C112" s="35"/>
      <c r="D112" s="36"/>
      <c r="E112" s="35"/>
      <c r="F112" s="46">
        <v>98</v>
      </c>
      <c r="G112" s="47" t="s">
        <v>238</v>
      </c>
      <c r="H112" s="35"/>
      <c r="I112" s="36"/>
      <c r="K112" s="46">
        <v>98</v>
      </c>
      <c r="L112" s="47" t="s">
        <v>238</v>
      </c>
      <c r="M112" s="35"/>
      <c r="N112" s="36"/>
      <c r="P112" s="46">
        <v>98</v>
      </c>
      <c r="Q112" s="47" t="s">
        <v>238</v>
      </c>
      <c r="R112" s="35"/>
      <c r="S112" s="36"/>
    </row>
    <row r="113" spans="1:19" hidden="1">
      <c r="A113" s="46">
        <v>99</v>
      </c>
      <c r="B113" s="47" t="s">
        <v>239</v>
      </c>
      <c r="C113" s="35"/>
      <c r="D113" s="36"/>
      <c r="E113" s="35"/>
      <c r="F113" s="46">
        <v>99</v>
      </c>
      <c r="G113" s="47" t="s">
        <v>239</v>
      </c>
      <c r="H113" s="35"/>
      <c r="I113" s="36"/>
      <c r="K113" s="46">
        <v>99</v>
      </c>
      <c r="L113" s="47" t="s">
        <v>239</v>
      </c>
      <c r="M113" s="35"/>
      <c r="N113" s="36"/>
      <c r="P113" s="46">
        <v>99</v>
      </c>
      <c r="Q113" s="47" t="s">
        <v>239</v>
      </c>
      <c r="R113" s="35"/>
      <c r="S113" s="36"/>
    </row>
    <row r="114" spans="1:19" ht="13.5" hidden="1" thickBot="1">
      <c r="A114" s="49">
        <v>100</v>
      </c>
      <c r="B114" s="50" t="s">
        <v>240</v>
      </c>
      <c r="C114" s="51"/>
      <c r="D114" s="52"/>
      <c r="E114" s="35"/>
      <c r="F114" s="49">
        <v>100</v>
      </c>
      <c r="G114" s="50" t="s">
        <v>240</v>
      </c>
      <c r="H114" s="51"/>
      <c r="I114" s="52"/>
      <c r="K114" s="49">
        <v>100</v>
      </c>
      <c r="L114" s="50" t="s">
        <v>240</v>
      </c>
      <c r="M114" s="51"/>
      <c r="N114" s="52"/>
      <c r="P114" s="49">
        <v>100</v>
      </c>
      <c r="Q114" s="50" t="s">
        <v>240</v>
      </c>
      <c r="R114" s="51"/>
      <c r="S114" s="52"/>
    </row>
    <row r="115" spans="1:19" hidden="1"/>
    <row r="116" spans="1:19" hidden="1"/>
    <row r="117" spans="1:19" hidden="1"/>
    <row r="118" spans="1:19" hidden="1"/>
    <row r="119" spans="1:19" hidden="1"/>
    <row r="120" spans="1:19">
      <c r="A120" s="53" t="s">
        <v>241</v>
      </c>
    </row>
    <row r="121" spans="1:19" ht="13.5" thickBot="1"/>
    <row r="122" spans="1:19" ht="13.5" thickBot="1">
      <c r="A122" s="26" t="e">
        <f>#REF!</f>
        <v>#REF!</v>
      </c>
      <c r="B122" s="27"/>
      <c r="C122" s="27"/>
      <c r="D122" s="28"/>
    </row>
    <row r="123" spans="1:19" ht="13.5" thickBot="1">
      <c r="A123" s="29"/>
      <c r="D123" s="30"/>
    </row>
    <row r="124" spans="1:19" ht="15.75" thickBot="1">
      <c r="A124" s="399" t="e">
        <f>#REF!</f>
        <v>#REF!</v>
      </c>
      <c r="B124" s="400"/>
      <c r="C124" s="32"/>
      <c r="D124" s="33"/>
    </row>
    <row r="125" spans="1:19">
      <c r="A125" s="401"/>
      <c r="B125" s="402"/>
      <c r="C125" s="32"/>
      <c r="D125" s="33"/>
    </row>
    <row r="126" spans="1:19">
      <c r="A126" s="34"/>
      <c r="B126" s="35"/>
      <c r="C126" s="35"/>
      <c r="D126" s="36"/>
    </row>
    <row r="127" spans="1:19" ht="69" customHeight="1">
      <c r="A127" s="403" t="e">
        <f>IF(OR((A124&gt;9999999999),(A124&lt;0)),"Invalid Entry - More than 1000 crore OR -ve value",IF(A124=0, "",+CONCATENATE(A122," ", U123,B134,D134,B133,D133,B132,D132,B131,D131,B130,D130,B129," Only")))</f>
        <v>#REF!</v>
      </c>
      <c r="B127" s="404"/>
      <c r="C127" s="404"/>
      <c r="D127" s="405"/>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138</v>
      </c>
      <c r="C136" s="35"/>
      <c r="D136" s="36"/>
    </row>
    <row r="137" spans="1:4">
      <c r="A137" s="46">
        <v>2</v>
      </c>
      <c r="B137" s="47" t="s">
        <v>139</v>
      </c>
      <c r="C137" s="35"/>
      <c r="D137" s="36"/>
    </row>
    <row r="138" spans="1:4">
      <c r="A138" s="46">
        <v>3</v>
      </c>
      <c r="B138" s="47" t="s">
        <v>140</v>
      </c>
      <c r="C138" s="35"/>
      <c r="D138" s="36"/>
    </row>
    <row r="139" spans="1:4">
      <c r="A139" s="46">
        <v>4</v>
      </c>
      <c r="B139" s="47" t="s">
        <v>141</v>
      </c>
      <c r="C139" s="35"/>
      <c r="D139" s="36"/>
    </row>
    <row r="140" spans="1:4">
      <c r="A140" s="46">
        <v>5</v>
      </c>
      <c r="B140" s="47" t="s">
        <v>142</v>
      </c>
      <c r="C140" s="35"/>
      <c r="D140" s="36"/>
    </row>
    <row r="141" spans="1:4">
      <c r="A141" s="46">
        <v>6</v>
      </c>
      <c r="B141" s="47" t="s">
        <v>143</v>
      </c>
      <c r="C141" s="35"/>
      <c r="D141" s="36"/>
    </row>
    <row r="142" spans="1:4">
      <c r="A142" s="46">
        <v>7</v>
      </c>
      <c r="B142" s="47" t="s">
        <v>144</v>
      </c>
      <c r="C142" s="35"/>
      <c r="D142" s="36"/>
    </row>
    <row r="143" spans="1:4">
      <c r="A143" s="46">
        <v>8</v>
      </c>
      <c r="B143" s="47" t="s">
        <v>145</v>
      </c>
      <c r="C143" s="35"/>
      <c r="D143" s="36"/>
    </row>
    <row r="144" spans="1:4">
      <c r="A144" s="46">
        <v>9</v>
      </c>
      <c r="B144" s="47" t="s">
        <v>146</v>
      </c>
      <c r="C144" s="35"/>
      <c r="D144" s="36"/>
    </row>
    <row r="145" spans="1:4">
      <c r="A145" s="46">
        <v>10</v>
      </c>
      <c r="B145" s="47" t="s">
        <v>147</v>
      </c>
      <c r="C145" s="35"/>
      <c r="D145" s="36"/>
    </row>
    <row r="146" spans="1:4">
      <c r="A146" s="46">
        <v>11</v>
      </c>
      <c r="B146" s="47" t="s">
        <v>148</v>
      </c>
      <c r="C146" s="35"/>
      <c r="D146" s="36"/>
    </row>
    <row r="147" spans="1:4">
      <c r="A147" s="46">
        <v>12</v>
      </c>
      <c r="B147" s="47" t="s">
        <v>149</v>
      </c>
      <c r="C147" s="35"/>
      <c r="D147" s="36"/>
    </row>
    <row r="148" spans="1:4">
      <c r="A148" s="46">
        <v>13</v>
      </c>
      <c r="B148" s="47" t="s">
        <v>150</v>
      </c>
      <c r="C148" s="35"/>
      <c r="D148" s="36"/>
    </row>
    <row r="149" spans="1:4">
      <c r="A149" s="46">
        <v>14</v>
      </c>
      <c r="B149" s="47" t="s">
        <v>151</v>
      </c>
      <c r="C149" s="35"/>
      <c r="D149" s="36"/>
    </row>
    <row r="150" spans="1:4">
      <c r="A150" s="46">
        <v>15</v>
      </c>
      <c r="B150" s="47" t="s">
        <v>152</v>
      </c>
      <c r="C150" s="35"/>
      <c r="D150" s="36"/>
    </row>
    <row r="151" spans="1:4">
      <c r="A151" s="46">
        <v>16</v>
      </c>
      <c r="B151" s="47" t="s">
        <v>153</v>
      </c>
      <c r="C151" s="35"/>
      <c r="D151" s="36"/>
    </row>
    <row r="152" spans="1:4">
      <c r="A152" s="46">
        <v>17</v>
      </c>
      <c r="B152" s="47" t="s">
        <v>155</v>
      </c>
      <c r="C152" s="35"/>
      <c r="D152" s="36"/>
    </row>
    <row r="153" spans="1:4">
      <c r="A153" s="46">
        <v>18</v>
      </c>
      <c r="B153" s="47" t="s">
        <v>157</v>
      </c>
      <c r="C153" s="35"/>
      <c r="D153" s="36"/>
    </row>
    <row r="154" spans="1:4">
      <c r="A154" s="46">
        <v>19</v>
      </c>
      <c r="B154" s="47" t="s">
        <v>159</v>
      </c>
      <c r="C154" s="35"/>
      <c r="D154" s="36"/>
    </row>
    <row r="155" spans="1:4">
      <c r="A155" s="46">
        <v>20</v>
      </c>
      <c r="B155" s="47" t="s">
        <v>160</v>
      </c>
      <c r="C155" s="35"/>
      <c r="D155" s="36"/>
    </row>
    <row r="156" spans="1:4">
      <c r="A156" s="46">
        <v>21</v>
      </c>
      <c r="B156" s="47" t="s">
        <v>161</v>
      </c>
      <c r="C156" s="35"/>
      <c r="D156" s="36"/>
    </row>
    <row r="157" spans="1:4">
      <c r="A157" s="46">
        <v>22</v>
      </c>
      <c r="B157" s="47" t="s">
        <v>162</v>
      </c>
      <c r="C157" s="35"/>
      <c r="D157" s="36"/>
    </row>
    <row r="158" spans="1:4">
      <c r="A158" s="46">
        <v>23</v>
      </c>
      <c r="B158" s="47" t="s">
        <v>163</v>
      </c>
      <c r="C158" s="35"/>
      <c r="D158" s="36"/>
    </row>
    <row r="159" spans="1:4">
      <c r="A159" s="46">
        <v>24</v>
      </c>
      <c r="B159" s="47" t="s">
        <v>164</v>
      </c>
      <c r="C159" s="35"/>
      <c r="D159" s="36"/>
    </row>
    <row r="160" spans="1:4">
      <c r="A160" s="46">
        <v>25</v>
      </c>
      <c r="B160" s="47" t="s">
        <v>165</v>
      </c>
      <c r="C160" s="35"/>
      <c r="D160" s="36"/>
    </row>
    <row r="161" spans="1:4">
      <c r="A161" s="46">
        <v>26</v>
      </c>
      <c r="B161" s="47" t="s">
        <v>166</v>
      </c>
      <c r="C161" s="35"/>
      <c r="D161" s="36"/>
    </row>
    <row r="162" spans="1:4">
      <c r="A162" s="46">
        <v>27</v>
      </c>
      <c r="B162" s="47" t="s">
        <v>167</v>
      </c>
      <c r="C162" s="35"/>
      <c r="D162" s="36"/>
    </row>
    <row r="163" spans="1:4">
      <c r="A163" s="46">
        <v>28</v>
      </c>
      <c r="B163" s="47" t="s">
        <v>168</v>
      </c>
      <c r="C163" s="35"/>
      <c r="D163" s="36"/>
    </row>
    <row r="164" spans="1:4">
      <c r="A164" s="46">
        <v>29</v>
      </c>
      <c r="B164" s="47" t="s">
        <v>169</v>
      </c>
      <c r="C164" s="35"/>
      <c r="D164" s="36"/>
    </row>
    <row r="165" spans="1:4">
      <c r="A165" s="46">
        <v>30</v>
      </c>
      <c r="B165" s="47" t="s">
        <v>170</v>
      </c>
      <c r="C165" s="35"/>
      <c r="D165" s="36"/>
    </row>
    <row r="166" spans="1:4">
      <c r="A166" s="46">
        <v>31</v>
      </c>
      <c r="B166" s="47" t="s">
        <v>171</v>
      </c>
      <c r="C166" s="35"/>
      <c r="D166" s="36"/>
    </row>
    <row r="167" spans="1:4">
      <c r="A167" s="46">
        <v>32</v>
      </c>
      <c r="B167" s="47" t="s">
        <v>172</v>
      </c>
      <c r="C167" s="35"/>
      <c r="D167" s="36"/>
    </row>
    <row r="168" spans="1:4">
      <c r="A168" s="46">
        <v>33</v>
      </c>
      <c r="B168" s="47" t="s">
        <v>173</v>
      </c>
      <c r="C168" s="35"/>
      <c r="D168" s="36"/>
    </row>
    <row r="169" spans="1:4">
      <c r="A169" s="46">
        <v>34</v>
      </c>
      <c r="B169" s="47" t="s">
        <v>174</v>
      </c>
      <c r="C169" s="35"/>
      <c r="D169" s="36"/>
    </row>
    <row r="170" spans="1:4">
      <c r="A170" s="46">
        <v>35</v>
      </c>
      <c r="B170" s="47" t="s">
        <v>175</v>
      </c>
      <c r="C170" s="35"/>
      <c r="D170" s="36"/>
    </row>
    <row r="171" spans="1:4">
      <c r="A171" s="46">
        <v>36</v>
      </c>
      <c r="B171" s="47" t="s">
        <v>176</v>
      </c>
      <c r="C171" s="35"/>
      <c r="D171" s="36"/>
    </row>
    <row r="172" spans="1:4">
      <c r="A172" s="46">
        <v>37</v>
      </c>
      <c r="B172" s="47" t="s">
        <v>177</v>
      </c>
      <c r="C172" s="35"/>
      <c r="D172" s="36"/>
    </row>
    <row r="173" spans="1:4">
      <c r="A173" s="46">
        <v>38</v>
      </c>
      <c r="B173" s="47" t="s">
        <v>178</v>
      </c>
      <c r="C173" s="35"/>
      <c r="D173" s="36"/>
    </row>
    <row r="174" spans="1:4">
      <c r="A174" s="46">
        <v>39</v>
      </c>
      <c r="B174" s="47" t="s">
        <v>179</v>
      </c>
      <c r="C174" s="35"/>
      <c r="D174" s="36"/>
    </row>
    <row r="175" spans="1:4">
      <c r="A175" s="46">
        <v>40</v>
      </c>
      <c r="B175" s="47" t="s">
        <v>180</v>
      </c>
      <c r="C175" s="35"/>
      <c r="D175" s="36"/>
    </row>
    <row r="176" spans="1:4">
      <c r="A176" s="46">
        <v>41</v>
      </c>
      <c r="B176" s="47" t="s">
        <v>181</v>
      </c>
      <c r="C176" s="35"/>
      <c r="D176" s="36"/>
    </row>
    <row r="177" spans="1:4">
      <c r="A177" s="46">
        <v>42</v>
      </c>
      <c r="B177" s="47" t="s">
        <v>182</v>
      </c>
      <c r="C177" s="35"/>
      <c r="D177" s="36"/>
    </row>
    <row r="178" spans="1:4">
      <c r="A178" s="46">
        <v>43</v>
      </c>
      <c r="B178" s="47" t="s">
        <v>183</v>
      </c>
      <c r="C178" s="35"/>
      <c r="D178" s="36"/>
    </row>
    <row r="179" spans="1:4">
      <c r="A179" s="46">
        <v>44</v>
      </c>
      <c r="B179" s="47" t="s">
        <v>184</v>
      </c>
      <c r="C179" s="35"/>
      <c r="D179" s="36"/>
    </row>
    <row r="180" spans="1:4">
      <c r="A180" s="46">
        <v>45</v>
      </c>
      <c r="B180" s="47" t="s">
        <v>185</v>
      </c>
      <c r="C180" s="35"/>
      <c r="D180" s="36"/>
    </row>
    <row r="181" spans="1:4">
      <c r="A181" s="46">
        <v>46</v>
      </c>
      <c r="B181" s="47" t="s">
        <v>186</v>
      </c>
      <c r="C181" s="35"/>
      <c r="D181" s="36"/>
    </row>
    <row r="182" spans="1:4">
      <c r="A182" s="46">
        <v>47</v>
      </c>
      <c r="B182" s="47" t="s">
        <v>187</v>
      </c>
      <c r="C182" s="35"/>
      <c r="D182" s="36"/>
    </row>
    <row r="183" spans="1:4">
      <c r="A183" s="46">
        <v>48</v>
      </c>
      <c r="B183" s="47" t="s">
        <v>188</v>
      </c>
      <c r="C183" s="35"/>
      <c r="D183" s="36"/>
    </row>
    <row r="184" spans="1:4">
      <c r="A184" s="46">
        <v>49</v>
      </c>
      <c r="B184" s="47" t="s">
        <v>189</v>
      </c>
      <c r="C184" s="35"/>
      <c r="D184" s="36"/>
    </row>
    <row r="185" spans="1:4">
      <c r="A185" s="46">
        <v>50</v>
      </c>
      <c r="B185" s="47" t="s">
        <v>190</v>
      </c>
      <c r="C185" s="35"/>
      <c r="D185" s="36"/>
    </row>
    <row r="186" spans="1:4">
      <c r="A186" s="46">
        <v>51</v>
      </c>
      <c r="B186" s="47" t="s">
        <v>191</v>
      </c>
      <c r="C186" s="35"/>
      <c r="D186" s="36"/>
    </row>
    <row r="187" spans="1:4">
      <c r="A187" s="46">
        <v>52</v>
      </c>
      <c r="B187" s="47" t="s">
        <v>192</v>
      </c>
      <c r="C187" s="35"/>
      <c r="D187" s="36"/>
    </row>
    <row r="188" spans="1:4">
      <c r="A188" s="46">
        <v>53</v>
      </c>
      <c r="B188" s="47" t="s">
        <v>193</v>
      </c>
      <c r="C188" s="35"/>
      <c r="D188" s="36"/>
    </row>
    <row r="189" spans="1:4">
      <c r="A189" s="46">
        <v>54</v>
      </c>
      <c r="B189" s="47" t="s">
        <v>194</v>
      </c>
      <c r="C189" s="35"/>
      <c r="D189" s="36"/>
    </row>
    <row r="190" spans="1:4">
      <c r="A190" s="46">
        <v>55</v>
      </c>
      <c r="B190" s="47" t="s">
        <v>195</v>
      </c>
      <c r="C190" s="35"/>
      <c r="D190" s="36"/>
    </row>
    <row r="191" spans="1:4">
      <c r="A191" s="46">
        <v>56</v>
      </c>
      <c r="B191" s="47" t="s">
        <v>196</v>
      </c>
      <c r="C191" s="35"/>
      <c r="D191" s="36"/>
    </row>
    <row r="192" spans="1:4">
      <c r="A192" s="46">
        <v>57</v>
      </c>
      <c r="B192" s="47" t="s">
        <v>197</v>
      </c>
      <c r="C192" s="35"/>
      <c r="D192" s="36"/>
    </row>
    <row r="193" spans="1:4">
      <c r="A193" s="46">
        <v>58</v>
      </c>
      <c r="B193" s="47" t="s">
        <v>198</v>
      </c>
      <c r="C193" s="35"/>
      <c r="D193" s="36"/>
    </row>
    <row r="194" spans="1:4">
      <c r="A194" s="46">
        <v>59</v>
      </c>
      <c r="B194" s="47" t="s">
        <v>199</v>
      </c>
      <c r="C194" s="35"/>
      <c r="D194" s="36"/>
    </row>
    <row r="195" spans="1:4">
      <c r="A195" s="46">
        <v>60</v>
      </c>
      <c r="B195" s="47" t="s">
        <v>200</v>
      </c>
      <c r="C195" s="35"/>
      <c r="D195" s="36"/>
    </row>
    <row r="196" spans="1:4">
      <c r="A196" s="46">
        <v>61</v>
      </c>
      <c r="B196" s="47" t="s">
        <v>201</v>
      </c>
      <c r="C196" s="35"/>
      <c r="D196" s="36"/>
    </row>
    <row r="197" spans="1:4">
      <c r="A197" s="46">
        <v>62</v>
      </c>
      <c r="B197" s="47" t="s">
        <v>202</v>
      </c>
      <c r="C197" s="35"/>
      <c r="D197" s="36"/>
    </row>
    <row r="198" spans="1:4">
      <c r="A198" s="46">
        <v>63</v>
      </c>
      <c r="B198" s="47" t="s">
        <v>203</v>
      </c>
      <c r="C198" s="35"/>
      <c r="D198" s="36"/>
    </row>
    <row r="199" spans="1:4">
      <c r="A199" s="46">
        <v>64</v>
      </c>
      <c r="B199" s="47" t="s">
        <v>204</v>
      </c>
      <c r="C199" s="35"/>
      <c r="D199" s="36"/>
    </row>
    <row r="200" spans="1:4">
      <c r="A200" s="46">
        <v>65</v>
      </c>
      <c r="B200" s="47" t="s">
        <v>205</v>
      </c>
      <c r="C200" s="35"/>
      <c r="D200" s="36"/>
    </row>
    <row r="201" spans="1:4">
      <c r="A201" s="46">
        <v>66</v>
      </c>
      <c r="B201" s="47" t="s">
        <v>206</v>
      </c>
      <c r="C201" s="35"/>
      <c r="D201" s="36"/>
    </row>
    <row r="202" spans="1:4">
      <c r="A202" s="46">
        <v>67</v>
      </c>
      <c r="B202" s="47" t="s">
        <v>207</v>
      </c>
      <c r="C202" s="35"/>
      <c r="D202" s="36"/>
    </row>
    <row r="203" spans="1:4">
      <c r="A203" s="46">
        <v>68</v>
      </c>
      <c r="B203" s="47" t="s">
        <v>208</v>
      </c>
      <c r="C203" s="35"/>
      <c r="D203" s="36"/>
    </row>
    <row r="204" spans="1:4">
      <c r="A204" s="46">
        <v>69</v>
      </c>
      <c r="B204" s="47" t="s">
        <v>209</v>
      </c>
      <c r="C204" s="35"/>
      <c r="D204" s="36"/>
    </row>
    <row r="205" spans="1:4">
      <c r="A205" s="46">
        <v>70</v>
      </c>
      <c r="B205" s="47" t="s">
        <v>210</v>
      </c>
      <c r="C205" s="35"/>
      <c r="D205" s="36"/>
    </row>
    <row r="206" spans="1:4">
      <c r="A206" s="46">
        <v>71</v>
      </c>
      <c r="B206" s="47" t="s">
        <v>211</v>
      </c>
      <c r="C206" s="35"/>
      <c r="D206" s="36"/>
    </row>
    <row r="207" spans="1:4">
      <c r="A207" s="46">
        <v>72</v>
      </c>
      <c r="B207" s="47" t="s">
        <v>212</v>
      </c>
      <c r="C207" s="35"/>
      <c r="D207" s="36"/>
    </row>
    <row r="208" spans="1:4">
      <c r="A208" s="46">
        <v>73</v>
      </c>
      <c r="B208" s="47" t="s">
        <v>213</v>
      </c>
      <c r="C208" s="35"/>
      <c r="D208" s="36"/>
    </row>
    <row r="209" spans="1:4">
      <c r="A209" s="46">
        <v>74</v>
      </c>
      <c r="B209" s="47" t="s">
        <v>214</v>
      </c>
      <c r="C209" s="35"/>
      <c r="D209" s="36"/>
    </row>
    <row r="210" spans="1:4">
      <c r="A210" s="46">
        <v>75</v>
      </c>
      <c r="B210" s="47" t="s">
        <v>215</v>
      </c>
      <c r="C210" s="35"/>
      <c r="D210" s="36"/>
    </row>
    <row r="211" spans="1:4">
      <c r="A211" s="46">
        <v>76</v>
      </c>
      <c r="B211" s="47" t="s">
        <v>216</v>
      </c>
      <c r="C211" s="35"/>
      <c r="D211" s="36"/>
    </row>
    <row r="212" spans="1:4">
      <c r="A212" s="46">
        <v>77</v>
      </c>
      <c r="B212" s="47" t="s">
        <v>217</v>
      </c>
      <c r="C212" s="35"/>
      <c r="D212" s="36"/>
    </row>
    <row r="213" spans="1:4">
      <c r="A213" s="46">
        <v>78</v>
      </c>
      <c r="B213" s="47" t="s">
        <v>218</v>
      </c>
      <c r="C213" s="35"/>
      <c r="D213" s="36"/>
    </row>
    <row r="214" spans="1:4">
      <c r="A214" s="46">
        <v>79</v>
      </c>
      <c r="B214" s="47" t="s">
        <v>219</v>
      </c>
      <c r="C214" s="35"/>
      <c r="D214" s="36"/>
    </row>
    <row r="215" spans="1:4">
      <c r="A215" s="46">
        <v>80</v>
      </c>
      <c r="B215" s="47" t="s">
        <v>220</v>
      </c>
      <c r="C215" s="35"/>
      <c r="D215" s="36"/>
    </row>
    <row r="216" spans="1:4">
      <c r="A216" s="46">
        <v>81</v>
      </c>
      <c r="B216" s="47" t="s">
        <v>221</v>
      </c>
      <c r="C216" s="35"/>
      <c r="D216" s="36"/>
    </row>
    <row r="217" spans="1:4">
      <c r="A217" s="46">
        <v>82</v>
      </c>
      <c r="B217" s="47" t="s">
        <v>222</v>
      </c>
      <c r="C217" s="35"/>
      <c r="D217" s="36"/>
    </row>
    <row r="218" spans="1:4">
      <c r="A218" s="46">
        <v>83</v>
      </c>
      <c r="B218" s="47" t="s">
        <v>223</v>
      </c>
      <c r="C218" s="35"/>
      <c r="D218" s="36"/>
    </row>
    <row r="219" spans="1:4">
      <c r="A219" s="46">
        <v>84</v>
      </c>
      <c r="B219" s="47" t="s">
        <v>224</v>
      </c>
      <c r="C219" s="35"/>
      <c r="D219" s="36"/>
    </row>
    <row r="220" spans="1:4">
      <c r="A220" s="46">
        <v>85</v>
      </c>
      <c r="B220" s="47" t="s">
        <v>225</v>
      </c>
      <c r="C220" s="35"/>
      <c r="D220" s="36"/>
    </row>
    <row r="221" spans="1:4">
      <c r="A221" s="46">
        <v>86</v>
      </c>
      <c r="B221" s="47" t="s">
        <v>226</v>
      </c>
      <c r="C221" s="35"/>
      <c r="D221" s="36"/>
    </row>
    <row r="222" spans="1:4">
      <c r="A222" s="46">
        <v>87</v>
      </c>
      <c r="B222" s="47" t="s">
        <v>227</v>
      </c>
      <c r="C222" s="35"/>
      <c r="D222" s="36"/>
    </row>
    <row r="223" spans="1:4">
      <c r="A223" s="46">
        <v>88</v>
      </c>
      <c r="B223" s="47" t="s">
        <v>228</v>
      </c>
      <c r="C223" s="35"/>
      <c r="D223" s="36"/>
    </row>
    <row r="224" spans="1:4">
      <c r="A224" s="46">
        <v>89</v>
      </c>
      <c r="B224" s="47" t="s">
        <v>229</v>
      </c>
      <c r="C224" s="35"/>
      <c r="D224" s="36"/>
    </row>
    <row r="225" spans="1:4">
      <c r="A225" s="46">
        <v>90</v>
      </c>
      <c r="B225" s="47" t="s">
        <v>230</v>
      </c>
      <c r="C225" s="35"/>
      <c r="D225" s="36"/>
    </row>
    <row r="226" spans="1:4">
      <c r="A226" s="46">
        <v>91</v>
      </c>
      <c r="B226" s="47" t="s">
        <v>231</v>
      </c>
      <c r="C226" s="35"/>
      <c r="D226" s="36"/>
    </row>
    <row r="227" spans="1:4">
      <c r="A227" s="46">
        <v>92</v>
      </c>
      <c r="B227" s="47" t="s">
        <v>232</v>
      </c>
      <c r="C227" s="35"/>
      <c r="D227" s="36"/>
    </row>
    <row r="228" spans="1:4">
      <c r="A228" s="46">
        <v>93</v>
      </c>
      <c r="B228" s="47" t="s">
        <v>233</v>
      </c>
      <c r="C228" s="35"/>
      <c r="D228" s="36"/>
    </row>
    <row r="229" spans="1:4">
      <c r="A229" s="46">
        <v>94</v>
      </c>
      <c r="B229" s="47" t="s">
        <v>234</v>
      </c>
      <c r="C229" s="35"/>
      <c r="D229" s="36"/>
    </row>
    <row r="230" spans="1:4">
      <c r="A230" s="46">
        <v>95</v>
      </c>
      <c r="B230" s="47" t="s">
        <v>235</v>
      </c>
      <c r="C230" s="35"/>
      <c r="D230" s="36"/>
    </row>
    <row r="231" spans="1:4">
      <c r="A231" s="46">
        <v>96</v>
      </c>
      <c r="B231" s="47" t="s">
        <v>236</v>
      </c>
      <c r="C231" s="35"/>
      <c r="D231" s="36"/>
    </row>
    <row r="232" spans="1:4">
      <c r="A232" s="46">
        <v>97</v>
      </c>
      <c r="B232" s="47" t="s">
        <v>237</v>
      </c>
      <c r="C232" s="35"/>
      <c r="D232" s="36"/>
    </row>
    <row r="233" spans="1:4">
      <c r="A233" s="46">
        <v>98</v>
      </c>
      <c r="B233" s="47" t="s">
        <v>238</v>
      </c>
      <c r="C233" s="35"/>
      <c r="D233" s="36"/>
    </row>
    <row r="234" spans="1:4">
      <c r="A234" s="46">
        <v>99</v>
      </c>
      <c r="B234" s="47" t="s">
        <v>239</v>
      </c>
      <c r="C234" s="35"/>
      <c r="D234" s="36"/>
    </row>
    <row r="235" spans="1:4" ht="13.5" thickBot="1">
      <c r="A235" s="49">
        <v>100</v>
      </c>
      <c r="B235" s="50" t="s">
        <v>240</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6"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P386"/>
  <sheetViews>
    <sheetView view="pageBreakPreview" topLeftCell="C1" zoomScale="60" zoomScaleNormal="90" workbookViewId="0">
      <pane ySplit="10" topLeftCell="A341" activePane="bottomLeft" state="frozen"/>
      <selection pane="bottomLeft" activeCell="N343" sqref="N343"/>
    </sheetView>
  </sheetViews>
  <sheetFormatPr defaultRowHeight="15.75"/>
  <cols>
    <col min="1" max="1" width="6.28515625" style="136" customWidth="1"/>
    <col min="2" max="2" width="16.5703125" style="137" customWidth="1"/>
    <col min="3" max="3" width="14.42578125" style="138" customWidth="1"/>
    <col min="4" max="4" width="15.28515625" style="139" customWidth="1"/>
    <col min="5" max="5" width="17" style="138" customWidth="1"/>
    <col min="6" max="6" width="12" style="138" customWidth="1"/>
    <col min="7" max="7" width="23.5703125" style="139" customWidth="1"/>
    <col min="8" max="8" width="78" style="139" customWidth="1"/>
    <col min="9" max="9" width="10.5703125" style="297" customWidth="1"/>
    <col min="10" max="10" width="12.42578125" style="139" bestFit="1" customWidth="1"/>
    <col min="11" max="11" width="15.140625" style="139" customWidth="1"/>
    <col min="12" max="12" width="13" style="139" customWidth="1"/>
    <col min="13" max="13" width="16.5703125" style="139" customWidth="1"/>
    <col min="14" max="14" width="27" style="139" customWidth="1"/>
    <col min="15" max="16" width="26.7109375" style="139" customWidth="1"/>
    <col min="17" max="16384" width="9.140625" style="139"/>
  </cols>
  <sheetData>
    <row r="1" spans="1:15" ht="43.5" customHeight="1">
      <c r="A1" s="421" t="str">
        <f>'Name of Bidder'!A1:C1</f>
        <v>Package-B for Construction of Field Hostel and Community Center at 765/400kV Kurnool-III PS under Transmission System for evacuation of power from RE sources in Kurnool Wind Energy Zone (3000MW)/ Solar Energy Zone (1500MW) Part-A and Part-B</v>
      </c>
      <c r="B1" s="421"/>
      <c r="C1" s="421"/>
      <c r="D1" s="421"/>
      <c r="E1" s="421"/>
      <c r="F1" s="421"/>
      <c r="G1" s="421"/>
      <c r="H1" s="421"/>
      <c r="I1" s="421"/>
      <c r="J1" s="421"/>
      <c r="K1" s="421"/>
      <c r="L1" s="421"/>
      <c r="M1" s="421"/>
      <c r="N1" s="421"/>
      <c r="O1" s="421"/>
    </row>
    <row r="2" spans="1:15" ht="16.5">
      <c r="A2" s="421" t="s">
        <v>242</v>
      </c>
      <c r="B2" s="421"/>
      <c r="C2" s="421"/>
      <c r="D2" s="421"/>
      <c r="E2" s="421"/>
      <c r="F2" s="421"/>
      <c r="G2" s="421"/>
      <c r="H2" s="421"/>
      <c r="I2" s="421"/>
      <c r="J2" s="421"/>
      <c r="K2" s="421"/>
      <c r="L2" s="421"/>
      <c r="M2" s="421"/>
      <c r="N2" s="421"/>
      <c r="O2" s="421"/>
    </row>
    <row r="3" spans="1:15" s="133" customFormat="1">
      <c r="A3" s="130"/>
      <c r="B3" s="131"/>
      <c r="C3" s="415"/>
      <c r="D3" s="415"/>
      <c r="E3" s="415"/>
      <c r="F3" s="415"/>
      <c r="G3" s="415"/>
      <c r="H3" s="415"/>
      <c r="I3" s="415"/>
      <c r="J3" s="415"/>
      <c r="K3" s="414" t="s">
        <v>243</v>
      </c>
      <c r="L3" s="414"/>
      <c r="M3" s="414"/>
    </row>
    <row r="4" spans="1:15" s="133" customFormat="1">
      <c r="A4" s="132" t="s">
        <v>244</v>
      </c>
      <c r="B4" s="134"/>
      <c r="C4" s="415">
        <f>'Name of Bidder'!C9</f>
        <v>0</v>
      </c>
      <c r="D4" s="415"/>
      <c r="E4" s="415"/>
      <c r="F4" s="415"/>
      <c r="G4" s="415"/>
      <c r="H4" s="415"/>
      <c r="I4" s="415"/>
      <c r="J4" s="415"/>
      <c r="K4" s="414" t="s">
        <v>245</v>
      </c>
      <c r="L4" s="414"/>
      <c r="M4" s="414"/>
    </row>
    <row r="5" spans="1:15" s="133" customFormat="1">
      <c r="A5" s="132" t="s">
        <v>16</v>
      </c>
      <c r="B5" s="134"/>
      <c r="C5" s="415">
        <f>'Name of Bidder'!C10</f>
        <v>0</v>
      </c>
      <c r="D5" s="415"/>
      <c r="E5" s="415"/>
      <c r="F5" s="415"/>
      <c r="G5" s="415"/>
      <c r="H5" s="415"/>
      <c r="I5" s="415"/>
      <c r="J5" s="415"/>
      <c r="K5" s="414" t="s">
        <v>246</v>
      </c>
      <c r="L5" s="414"/>
      <c r="M5" s="414"/>
    </row>
    <row r="6" spans="1:15" s="133" customFormat="1">
      <c r="A6" s="135"/>
      <c r="B6" s="134"/>
      <c r="C6" s="415">
        <f>'Name of Bidder'!C11</f>
        <v>0</v>
      </c>
      <c r="D6" s="415"/>
      <c r="E6" s="415"/>
      <c r="F6" s="415"/>
      <c r="G6" s="415"/>
      <c r="H6" s="415"/>
      <c r="I6" s="415"/>
      <c r="J6" s="415"/>
      <c r="K6" s="133" t="s">
        <v>247</v>
      </c>
    </row>
    <row r="7" spans="1:15" s="133" customFormat="1">
      <c r="A7" s="135"/>
      <c r="B7" s="134"/>
      <c r="C7" s="415">
        <f>'Name of Bidder'!C12</f>
        <v>0</v>
      </c>
      <c r="D7" s="415"/>
      <c r="E7" s="415"/>
      <c r="F7" s="415"/>
      <c r="G7" s="415"/>
      <c r="H7" s="415"/>
      <c r="I7" s="415"/>
      <c r="J7" s="415"/>
      <c r="K7" s="133" t="s">
        <v>248</v>
      </c>
    </row>
    <row r="8" spans="1:15">
      <c r="N8" s="422" t="s">
        <v>249</v>
      </c>
      <c r="O8" s="422"/>
    </row>
    <row r="9" spans="1:15" ht="117.75" customHeight="1">
      <c r="A9" s="127" t="s">
        <v>250</v>
      </c>
      <c r="B9" s="127" t="s">
        <v>251</v>
      </c>
      <c r="C9" s="127" t="s">
        <v>252</v>
      </c>
      <c r="D9" s="128" t="s">
        <v>253</v>
      </c>
      <c r="E9" s="140" t="s">
        <v>254</v>
      </c>
      <c r="F9" s="128" t="s">
        <v>255</v>
      </c>
      <c r="G9" s="140" t="s">
        <v>256</v>
      </c>
      <c r="H9" s="127" t="s">
        <v>257</v>
      </c>
      <c r="I9" s="127" t="s">
        <v>258</v>
      </c>
      <c r="J9" s="127" t="s">
        <v>259</v>
      </c>
      <c r="K9" s="127" t="s">
        <v>260</v>
      </c>
      <c r="L9" s="127" t="s">
        <v>261</v>
      </c>
      <c r="M9" s="127" t="s">
        <v>262</v>
      </c>
      <c r="N9" s="127" t="s">
        <v>263</v>
      </c>
      <c r="O9" s="127" t="s">
        <v>264</v>
      </c>
    </row>
    <row r="10" spans="1:15" ht="16.5">
      <c r="A10" s="141">
        <v>1</v>
      </c>
      <c r="B10" s="141">
        <v>2</v>
      </c>
      <c r="C10" s="141">
        <v>3</v>
      </c>
      <c r="D10" s="141">
        <v>4</v>
      </c>
      <c r="E10" s="128">
        <v>5</v>
      </c>
      <c r="F10" s="142">
        <v>6</v>
      </c>
      <c r="G10" s="142">
        <v>7</v>
      </c>
      <c r="H10" s="143">
        <v>8</v>
      </c>
      <c r="I10" s="144">
        <v>9</v>
      </c>
      <c r="J10" s="144">
        <v>10</v>
      </c>
      <c r="K10" s="144">
        <v>11</v>
      </c>
      <c r="L10" s="144">
        <v>12</v>
      </c>
      <c r="M10" s="144">
        <v>13</v>
      </c>
      <c r="N10" s="144" t="s">
        <v>265</v>
      </c>
      <c r="O10" s="145" t="s">
        <v>266</v>
      </c>
    </row>
    <row r="11" spans="1:15" ht="36">
      <c r="A11" s="217"/>
      <c r="B11" s="211" t="s">
        <v>267</v>
      </c>
      <c r="C11" s="212"/>
      <c r="D11" s="213"/>
      <c r="E11" s="214"/>
      <c r="F11" s="215"/>
      <c r="G11" s="216"/>
      <c r="H11" s="242" t="s">
        <v>268</v>
      </c>
      <c r="I11" s="298"/>
      <c r="J11" s="218"/>
      <c r="K11" s="219"/>
      <c r="L11" s="220"/>
      <c r="M11" s="219"/>
      <c r="N11" s="219"/>
      <c r="O11" s="218"/>
    </row>
    <row r="12" spans="1:15" ht="18.75">
      <c r="A12" s="217"/>
      <c r="B12" s="211"/>
      <c r="C12" s="212"/>
      <c r="D12" s="213"/>
      <c r="E12" s="214"/>
      <c r="F12" s="215"/>
      <c r="G12" s="216"/>
      <c r="H12" s="288" t="s">
        <v>269</v>
      </c>
      <c r="I12" s="298"/>
      <c r="J12" s="218"/>
      <c r="K12" s="219"/>
      <c r="L12" s="220"/>
      <c r="M12" s="219"/>
      <c r="N12" s="219"/>
      <c r="O12" s="218"/>
    </row>
    <row r="13" spans="1:15" ht="43.5" customHeight="1">
      <c r="A13" s="241">
        <v>1</v>
      </c>
      <c r="B13" s="292" t="s">
        <v>270</v>
      </c>
      <c r="C13" s="204"/>
      <c r="D13" s="204"/>
      <c r="E13" s="237"/>
      <c r="F13" s="248">
        <v>0.18</v>
      </c>
      <c r="G13" s="238"/>
      <c r="H13" s="249" t="s">
        <v>271</v>
      </c>
      <c r="I13" s="293" t="s">
        <v>272</v>
      </c>
      <c r="J13" s="293">
        <v>31</v>
      </c>
      <c r="K13" s="290">
        <v>245.82</v>
      </c>
      <c r="L13" s="147">
        <v>0.18</v>
      </c>
      <c r="M13" s="147">
        <f>ROUND(K13/(1+L13),2)</f>
        <v>208.32</v>
      </c>
      <c r="N13" s="147">
        <f>ROUND(M13*J13,2)</f>
        <v>6457.92</v>
      </c>
      <c r="O13" s="148">
        <f>ROUND(N13*18%,2)</f>
        <v>1162.43</v>
      </c>
    </row>
    <row r="14" spans="1:15" ht="45">
      <c r="A14" s="241">
        <f>A13+1</f>
        <v>2</v>
      </c>
      <c r="B14" s="292" t="s">
        <v>273</v>
      </c>
      <c r="C14" s="204"/>
      <c r="D14" s="204"/>
      <c r="E14" s="237"/>
      <c r="F14" s="248">
        <v>0.18</v>
      </c>
      <c r="G14" s="238"/>
      <c r="H14" s="249" t="s">
        <v>274</v>
      </c>
      <c r="I14" s="294" t="s">
        <v>272</v>
      </c>
      <c r="J14" s="294">
        <v>404</v>
      </c>
      <c r="K14" s="290">
        <v>393.32</v>
      </c>
      <c r="L14" s="147">
        <v>0.18</v>
      </c>
      <c r="M14" s="147">
        <f t="shared" ref="M14:M65" si="0">ROUND(K14/(1+L14),2)</f>
        <v>333.32</v>
      </c>
      <c r="N14" s="147">
        <f t="shared" ref="N14:N65" si="1">ROUND(M14*J14,2)</f>
        <v>134661.28</v>
      </c>
      <c r="O14" s="148">
        <f t="shared" ref="O14:O65" si="2">ROUND(N14*18%,2)</f>
        <v>24239.03</v>
      </c>
    </row>
    <row r="15" spans="1:15">
      <c r="A15" s="241"/>
      <c r="B15" s="292"/>
      <c r="C15" s="204"/>
      <c r="D15" s="204"/>
      <c r="E15" s="237"/>
      <c r="F15" s="248">
        <v>0.18</v>
      </c>
      <c r="G15" s="238"/>
      <c r="H15" s="288" t="s">
        <v>275</v>
      </c>
      <c r="I15" s="293"/>
      <c r="J15" s="293"/>
      <c r="K15" s="290"/>
      <c r="L15" s="146"/>
      <c r="M15" s="147"/>
      <c r="N15" s="147"/>
      <c r="O15" s="148"/>
    </row>
    <row r="16" spans="1:15" ht="95.25" customHeight="1">
      <c r="A16" s="241">
        <f>+A14+1</f>
        <v>3</v>
      </c>
      <c r="B16" s="292" t="s">
        <v>276</v>
      </c>
      <c r="C16" s="204"/>
      <c r="D16" s="204"/>
      <c r="E16" s="237"/>
      <c r="F16" s="248">
        <v>0.18</v>
      </c>
      <c r="G16" s="238"/>
      <c r="H16" s="249" t="s">
        <v>277</v>
      </c>
      <c r="I16" s="293" t="s">
        <v>272</v>
      </c>
      <c r="J16" s="293">
        <v>95</v>
      </c>
      <c r="K16" s="290">
        <v>260.3</v>
      </c>
      <c r="L16" s="147">
        <v>0.18</v>
      </c>
      <c r="M16" s="147">
        <f t="shared" si="0"/>
        <v>220.59</v>
      </c>
      <c r="N16" s="147">
        <f t="shared" si="1"/>
        <v>20956.05</v>
      </c>
      <c r="O16" s="148">
        <f t="shared" si="2"/>
        <v>3772.09</v>
      </c>
    </row>
    <row r="17" spans="1:15" ht="105">
      <c r="A17" s="241">
        <f t="shared" ref="A17:A24" si="3">+A16+1</f>
        <v>4</v>
      </c>
      <c r="B17" s="292" t="s">
        <v>278</v>
      </c>
      <c r="C17" s="204"/>
      <c r="D17" s="204"/>
      <c r="E17" s="237"/>
      <c r="F17" s="248">
        <v>0.18</v>
      </c>
      <c r="G17" s="238"/>
      <c r="H17" s="249" t="s">
        <v>279</v>
      </c>
      <c r="I17" s="293" t="s">
        <v>272</v>
      </c>
      <c r="J17" s="293">
        <v>167</v>
      </c>
      <c r="K17" s="290">
        <v>632.95000000000005</v>
      </c>
      <c r="L17" s="147">
        <v>0.18</v>
      </c>
      <c r="M17" s="147">
        <f t="shared" si="0"/>
        <v>536.4</v>
      </c>
      <c r="N17" s="147">
        <f t="shared" si="1"/>
        <v>89578.8</v>
      </c>
      <c r="O17" s="148">
        <f t="shared" si="2"/>
        <v>16124.18</v>
      </c>
    </row>
    <row r="18" spans="1:15" ht="105">
      <c r="A18" s="241">
        <f t="shared" si="3"/>
        <v>5</v>
      </c>
      <c r="B18" s="292" t="s">
        <v>280</v>
      </c>
      <c r="C18" s="204"/>
      <c r="D18" s="204"/>
      <c r="E18" s="237"/>
      <c r="F18" s="248">
        <v>0.18</v>
      </c>
      <c r="G18" s="238"/>
      <c r="H18" s="249" t="s">
        <v>281</v>
      </c>
      <c r="I18" s="293" t="s">
        <v>272</v>
      </c>
      <c r="J18" s="293">
        <v>236</v>
      </c>
      <c r="K18" s="290">
        <v>1049.8</v>
      </c>
      <c r="L18" s="147">
        <v>0.18</v>
      </c>
      <c r="M18" s="147">
        <f t="shared" si="0"/>
        <v>889.66</v>
      </c>
      <c r="N18" s="147">
        <f t="shared" si="1"/>
        <v>209959.76</v>
      </c>
      <c r="O18" s="148">
        <f t="shared" si="2"/>
        <v>37792.76</v>
      </c>
    </row>
    <row r="19" spans="1:15" ht="120">
      <c r="A19" s="241">
        <f t="shared" si="3"/>
        <v>6</v>
      </c>
      <c r="B19" s="292" t="s">
        <v>282</v>
      </c>
      <c r="C19" s="204"/>
      <c r="D19" s="204"/>
      <c r="E19" s="237"/>
      <c r="F19" s="248">
        <v>0.18</v>
      </c>
      <c r="G19" s="238"/>
      <c r="H19" s="249" t="s">
        <v>283</v>
      </c>
      <c r="I19" s="293" t="s">
        <v>284</v>
      </c>
      <c r="J19" s="293">
        <v>2</v>
      </c>
      <c r="K19" s="290">
        <v>352.15</v>
      </c>
      <c r="L19" s="147">
        <v>0.18</v>
      </c>
      <c r="M19" s="147">
        <f t="shared" si="0"/>
        <v>298.43</v>
      </c>
      <c r="N19" s="147">
        <f t="shared" si="1"/>
        <v>596.86</v>
      </c>
      <c r="O19" s="148">
        <f t="shared" si="2"/>
        <v>107.43</v>
      </c>
    </row>
    <row r="20" spans="1:15" ht="125.25" customHeight="1">
      <c r="A20" s="241">
        <f t="shared" si="3"/>
        <v>7</v>
      </c>
      <c r="B20" s="292" t="s">
        <v>285</v>
      </c>
      <c r="C20" s="204"/>
      <c r="D20" s="204"/>
      <c r="E20" s="237"/>
      <c r="F20" s="248">
        <v>0.18</v>
      </c>
      <c r="G20" s="238"/>
      <c r="H20" s="249" t="s">
        <v>286</v>
      </c>
      <c r="I20" s="293" t="s">
        <v>284</v>
      </c>
      <c r="J20" s="293">
        <v>3</v>
      </c>
      <c r="K20" s="290">
        <v>998.65</v>
      </c>
      <c r="L20" s="147">
        <v>0.18</v>
      </c>
      <c r="M20" s="147">
        <f t="shared" si="0"/>
        <v>846.31</v>
      </c>
      <c r="N20" s="147">
        <f t="shared" si="1"/>
        <v>2538.9299999999998</v>
      </c>
      <c r="O20" s="148">
        <f t="shared" si="2"/>
        <v>457.01</v>
      </c>
    </row>
    <row r="21" spans="1:15" ht="135.75" customHeight="1">
      <c r="A21" s="241">
        <f t="shared" si="3"/>
        <v>8</v>
      </c>
      <c r="B21" s="292" t="s">
        <v>287</v>
      </c>
      <c r="C21" s="204"/>
      <c r="D21" s="204"/>
      <c r="E21" s="237"/>
      <c r="F21" s="248">
        <v>0.18</v>
      </c>
      <c r="G21" s="238"/>
      <c r="H21" s="249" t="s">
        <v>288</v>
      </c>
      <c r="I21" s="293" t="s">
        <v>284</v>
      </c>
      <c r="J21" s="293">
        <v>5</v>
      </c>
      <c r="K21" s="290">
        <v>1493.6</v>
      </c>
      <c r="L21" s="147">
        <v>0.18</v>
      </c>
      <c r="M21" s="147">
        <f t="shared" si="0"/>
        <v>1265.76</v>
      </c>
      <c r="N21" s="147">
        <f t="shared" si="1"/>
        <v>6328.8</v>
      </c>
      <c r="O21" s="148">
        <f t="shared" si="2"/>
        <v>1139.18</v>
      </c>
    </row>
    <row r="22" spans="1:15" ht="60">
      <c r="A22" s="241">
        <f t="shared" si="3"/>
        <v>9</v>
      </c>
      <c r="B22" s="292" t="s">
        <v>289</v>
      </c>
      <c r="C22" s="204"/>
      <c r="D22" s="204"/>
      <c r="E22" s="237"/>
      <c r="F22" s="248">
        <v>0.18</v>
      </c>
      <c r="G22" s="238"/>
      <c r="H22" s="249" t="s">
        <v>290</v>
      </c>
      <c r="I22" s="293" t="s">
        <v>272</v>
      </c>
      <c r="J22" s="293">
        <v>65</v>
      </c>
      <c r="K22" s="290">
        <v>196</v>
      </c>
      <c r="L22" s="147">
        <v>0.18</v>
      </c>
      <c r="M22" s="147">
        <f t="shared" si="0"/>
        <v>166.1</v>
      </c>
      <c r="N22" s="147">
        <f t="shared" si="1"/>
        <v>10796.5</v>
      </c>
      <c r="O22" s="148">
        <f t="shared" si="2"/>
        <v>1943.37</v>
      </c>
    </row>
    <row r="23" spans="1:15" ht="60">
      <c r="A23" s="241">
        <f t="shared" si="3"/>
        <v>10</v>
      </c>
      <c r="B23" s="292" t="s">
        <v>291</v>
      </c>
      <c r="C23" s="204"/>
      <c r="D23" s="204"/>
      <c r="E23" s="237"/>
      <c r="F23" s="248">
        <v>0.18</v>
      </c>
      <c r="G23" s="238"/>
      <c r="H23" s="249" t="s">
        <v>292</v>
      </c>
      <c r="I23" s="293" t="s">
        <v>272</v>
      </c>
      <c r="J23" s="293">
        <v>215</v>
      </c>
      <c r="K23" s="290">
        <v>700.5</v>
      </c>
      <c r="L23" s="147">
        <v>0.18</v>
      </c>
      <c r="M23" s="147">
        <f t="shared" si="0"/>
        <v>593.64</v>
      </c>
      <c r="N23" s="147">
        <f t="shared" si="1"/>
        <v>127632.6</v>
      </c>
      <c r="O23" s="148">
        <f t="shared" si="2"/>
        <v>22973.87</v>
      </c>
    </row>
    <row r="24" spans="1:15" ht="30">
      <c r="A24" s="241">
        <f t="shared" si="3"/>
        <v>11</v>
      </c>
      <c r="B24" s="292" t="s">
        <v>293</v>
      </c>
      <c r="C24" s="204"/>
      <c r="D24" s="204"/>
      <c r="E24" s="237"/>
      <c r="F24" s="248">
        <v>0.18</v>
      </c>
      <c r="G24" s="238"/>
      <c r="H24" s="249" t="s">
        <v>294</v>
      </c>
      <c r="I24" s="293" t="s">
        <v>295</v>
      </c>
      <c r="J24" s="293">
        <v>249</v>
      </c>
      <c r="K24" s="290">
        <v>234.75</v>
      </c>
      <c r="L24" s="147">
        <v>0.18</v>
      </c>
      <c r="M24" s="147">
        <f t="shared" si="0"/>
        <v>198.94</v>
      </c>
      <c r="N24" s="147">
        <f t="shared" si="1"/>
        <v>49536.06</v>
      </c>
      <c r="O24" s="148">
        <f t="shared" si="2"/>
        <v>8916.49</v>
      </c>
    </row>
    <row r="25" spans="1:15">
      <c r="A25" s="241"/>
      <c r="B25" s="292"/>
      <c r="C25" s="204"/>
      <c r="D25" s="204"/>
      <c r="E25" s="237"/>
      <c r="F25" s="248">
        <v>0.18</v>
      </c>
      <c r="G25" s="238"/>
      <c r="H25" s="306" t="s">
        <v>296</v>
      </c>
      <c r="I25" s="293"/>
      <c r="J25" s="293"/>
      <c r="K25" s="290"/>
      <c r="L25" s="147">
        <v>0.18</v>
      </c>
      <c r="M25" s="147"/>
      <c r="N25" s="147"/>
      <c r="O25" s="148"/>
    </row>
    <row r="26" spans="1:15" ht="75">
      <c r="A26" s="241">
        <f>A24+1</f>
        <v>12</v>
      </c>
      <c r="B26" s="292" t="s">
        <v>297</v>
      </c>
      <c r="C26" s="204"/>
      <c r="D26" s="204"/>
      <c r="E26" s="237"/>
      <c r="F26" s="248">
        <v>0.18</v>
      </c>
      <c r="G26" s="238"/>
      <c r="H26" s="249" t="s">
        <v>298</v>
      </c>
      <c r="I26" s="293" t="s">
        <v>272</v>
      </c>
      <c r="J26" s="293">
        <v>94</v>
      </c>
      <c r="K26" s="290">
        <v>6812</v>
      </c>
      <c r="L26" s="147">
        <v>0.18</v>
      </c>
      <c r="M26" s="147">
        <f t="shared" si="0"/>
        <v>5772.88</v>
      </c>
      <c r="N26" s="147">
        <f t="shared" si="1"/>
        <v>542650.72</v>
      </c>
      <c r="O26" s="148">
        <f t="shared" si="2"/>
        <v>97677.13</v>
      </c>
    </row>
    <row r="27" spans="1:15" ht="120">
      <c r="A27" s="241">
        <f>+A26+1</f>
        <v>13</v>
      </c>
      <c r="B27" s="292" t="s">
        <v>299</v>
      </c>
      <c r="C27" s="204"/>
      <c r="D27" s="204"/>
      <c r="E27" s="237"/>
      <c r="F27" s="248">
        <v>0.18</v>
      </c>
      <c r="G27" s="238"/>
      <c r="H27" s="249" t="s">
        <v>300</v>
      </c>
      <c r="I27" s="293" t="s">
        <v>272</v>
      </c>
      <c r="J27" s="293">
        <v>14</v>
      </c>
      <c r="K27" s="290">
        <v>9895.2000000000007</v>
      </c>
      <c r="L27" s="147">
        <v>0.18</v>
      </c>
      <c r="M27" s="147">
        <f t="shared" si="0"/>
        <v>8385.76</v>
      </c>
      <c r="N27" s="147">
        <f t="shared" si="1"/>
        <v>117400.64</v>
      </c>
      <c r="O27" s="148">
        <f t="shared" si="2"/>
        <v>21132.12</v>
      </c>
    </row>
    <row r="28" spans="1:15" ht="45">
      <c r="A28" s="241">
        <f>+A27+1</f>
        <v>14</v>
      </c>
      <c r="B28" s="292" t="s">
        <v>301</v>
      </c>
      <c r="C28" s="204"/>
      <c r="D28" s="204"/>
      <c r="E28" s="237"/>
      <c r="F28" s="248">
        <v>0.18</v>
      </c>
      <c r="G28" s="238"/>
      <c r="H28" s="249" t="s">
        <v>302</v>
      </c>
      <c r="I28" s="295" t="s">
        <v>303</v>
      </c>
      <c r="J28" s="295">
        <v>126</v>
      </c>
      <c r="K28" s="290">
        <v>392.15</v>
      </c>
      <c r="L28" s="147">
        <v>0.18</v>
      </c>
      <c r="M28" s="147">
        <f t="shared" si="0"/>
        <v>332.33</v>
      </c>
      <c r="N28" s="147">
        <f t="shared" si="1"/>
        <v>41873.58</v>
      </c>
      <c r="O28" s="148">
        <f t="shared" si="2"/>
        <v>7537.24</v>
      </c>
    </row>
    <row r="29" spans="1:15" ht="60">
      <c r="A29" s="241">
        <f>+A28+1</f>
        <v>15</v>
      </c>
      <c r="B29" s="292" t="s">
        <v>304</v>
      </c>
      <c r="C29" s="204"/>
      <c r="D29" s="204"/>
      <c r="E29" s="237"/>
      <c r="F29" s="248">
        <v>0.18</v>
      </c>
      <c r="G29" s="238"/>
      <c r="H29" s="249" t="s">
        <v>305</v>
      </c>
      <c r="I29" s="295" t="s">
        <v>306</v>
      </c>
      <c r="J29" s="295">
        <v>140</v>
      </c>
      <c r="K29" s="290">
        <v>146.15</v>
      </c>
      <c r="L29" s="147">
        <v>0.18</v>
      </c>
      <c r="M29" s="147">
        <f t="shared" si="0"/>
        <v>123.86</v>
      </c>
      <c r="N29" s="147">
        <f t="shared" si="1"/>
        <v>17340.400000000001</v>
      </c>
      <c r="O29" s="148">
        <f t="shared" si="2"/>
        <v>3121.27</v>
      </c>
    </row>
    <row r="30" spans="1:15" ht="30">
      <c r="A30" s="241">
        <f>+A29+1</f>
        <v>16</v>
      </c>
      <c r="B30" s="292" t="s">
        <v>307</v>
      </c>
      <c r="C30" s="204"/>
      <c r="D30" s="204"/>
      <c r="E30" s="237"/>
      <c r="F30" s="248">
        <v>0.18</v>
      </c>
      <c r="G30" s="238"/>
      <c r="H30" s="249" t="s">
        <v>308</v>
      </c>
      <c r="I30" s="295" t="s">
        <v>309</v>
      </c>
      <c r="J30" s="293">
        <v>90</v>
      </c>
      <c r="K30" s="290">
        <v>18.149999999999999</v>
      </c>
      <c r="L30" s="147">
        <v>0.18</v>
      </c>
      <c r="M30" s="147">
        <f t="shared" si="0"/>
        <v>15.38</v>
      </c>
      <c r="N30" s="147">
        <f t="shared" si="1"/>
        <v>1384.2</v>
      </c>
      <c r="O30" s="148">
        <f t="shared" si="2"/>
        <v>249.16</v>
      </c>
    </row>
    <row r="31" spans="1:15" ht="90">
      <c r="A31" s="241">
        <f>+A30+1</f>
        <v>17</v>
      </c>
      <c r="B31" s="292" t="s">
        <v>310</v>
      </c>
      <c r="C31" s="204"/>
      <c r="D31" s="204"/>
      <c r="E31" s="237"/>
      <c r="F31" s="248">
        <v>0.18</v>
      </c>
      <c r="G31" s="238"/>
      <c r="H31" s="249" t="s">
        <v>311</v>
      </c>
      <c r="I31" s="293" t="s">
        <v>306</v>
      </c>
      <c r="J31" s="293">
        <v>140</v>
      </c>
      <c r="K31" s="290">
        <v>749.3</v>
      </c>
      <c r="L31" s="147">
        <v>0.18</v>
      </c>
      <c r="M31" s="147">
        <f t="shared" si="0"/>
        <v>635</v>
      </c>
      <c r="N31" s="147">
        <f t="shared" si="1"/>
        <v>88900</v>
      </c>
      <c r="O31" s="148">
        <f t="shared" si="2"/>
        <v>16002</v>
      </c>
    </row>
    <row r="32" spans="1:15">
      <c r="A32" s="241"/>
      <c r="B32" s="292"/>
      <c r="C32" s="204"/>
      <c r="D32" s="204"/>
      <c r="E32" s="237"/>
      <c r="F32" s="248">
        <v>0.18</v>
      </c>
      <c r="G32" s="238"/>
      <c r="H32" s="306" t="s">
        <v>312</v>
      </c>
      <c r="I32" s="293"/>
      <c r="J32" s="293"/>
      <c r="K32" s="290"/>
      <c r="L32" s="147">
        <v>0.18</v>
      </c>
      <c r="M32" s="147"/>
      <c r="N32" s="147"/>
      <c r="O32" s="148"/>
    </row>
    <row r="33" spans="1:15" ht="30">
      <c r="A33" s="241">
        <f>A31+1</f>
        <v>18</v>
      </c>
      <c r="B33" s="292" t="s">
        <v>313</v>
      </c>
      <c r="C33" s="204"/>
      <c r="D33" s="204"/>
      <c r="E33" s="237"/>
      <c r="F33" s="248">
        <v>0.18</v>
      </c>
      <c r="G33" s="238"/>
      <c r="H33" s="249" t="s">
        <v>314</v>
      </c>
      <c r="I33" s="293"/>
      <c r="J33" s="293"/>
      <c r="K33" s="290"/>
      <c r="L33" s="147">
        <v>0.18</v>
      </c>
      <c r="M33" s="147"/>
      <c r="N33" s="147"/>
      <c r="O33" s="148"/>
    </row>
    <row r="34" spans="1:15">
      <c r="A34" s="241">
        <f t="shared" ref="A34:A47" si="4">+A33+1</f>
        <v>19</v>
      </c>
      <c r="B34" s="292" t="s">
        <v>315</v>
      </c>
      <c r="C34" s="204"/>
      <c r="D34" s="204"/>
      <c r="E34" s="237"/>
      <c r="F34" s="248">
        <v>0.18</v>
      </c>
      <c r="G34" s="238"/>
      <c r="H34" s="249" t="s">
        <v>316</v>
      </c>
      <c r="I34" s="293" t="s">
        <v>306</v>
      </c>
      <c r="J34" s="293">
        <v>135</v>
      </c>
      <c r="K34" s="290">
        <v>392.15</v>
      </c>
      <c r="L34" s="147">
        <v>0.18</v>
      </c>
      <c r="M34" s="147">
        <f t="shared" si="0"/>
        <v>332.33</v>
      </c>
      <c r="N34" s="147">
        <f t="shared" si="1"/>
        <v>44864.55</v>
      </c>
      <c r="O34" s="148">
        <f t="shared" si="2"/>
        <v>8075.62</v>
      </c>
    </row>
    <row r="35" spans="1:15" ht="30">
      <c r="A35" s="241">
        <f t="shared" si="4"/>
        <v>20</v>
      </c>
      <c r="B35" s="292" t="s">
        <v>317</v>
      </c>
      <c r="C35" s="204"/>
      <c r="D35" s="204"/>
      <c r="E35" s="237"/>
      <c r="F35" s="248">
        <v>0.18</v>
      </c>
      <c r="G35" s="238"/>
      <c r="H35" s="249" t="s">
        <v>318</v>
      </c>
      <c r="I35" s="293" t="s">
        <v>306</v>
      </c>
      <c r="J35" s="293">
        <v>13</v>
      </c>
      <c r="K35" s="290">
        <v>842.5</v>
      </c>
      <c r="L35" s="147">
        <v>0.18</v>
      </c>
      <c r="M35" s="147">
        <f t="shared" si="0"/>
        <v>713.98</v>
      </c>
      <c r="N35" s="147">
        <f t="shared" si="1"/>
        <v>9281.74</v>
      </c>
      <c r="O35" s="148">
        <f t="shared" si="2"/>
        <v>1670.71</v>
      </c>
    </row>
    <row r="36" spans="1:15">
      <c r="A36" s="241">
        <f t="shared" si="4"/>
        <v>21</v>
      </c>
      <c r="B36" s="292" t="s">
        <v>319</v>
      </c>
      <c r="C36" s="204"/>
      <c r="D36" s="204"/>
      <c r="E36" s="237"/>
      <c r="F36" s="248">
        <v>0.18</v>
      </c>
      <c r="G36" s="238"/>
      <c r="H36" s="249" t="s">
        <v>320</v>
      </c>
      <c r="I36" s="293" t="s">
        <v>306</v>
      </c>
      <c r="J36" s="293">
        <v>505</v>
      </c>
      <c r="K36" s="290">
        <v>927.25</v>
      </c>
      <c r="L36" s="147">
        <v>0.18</v>
      </c>
      <c r="M36" s="147">
        <f t="shared" si="0"/>
        <v>785.81</v>
      </c>
      <c r="N36" s="147">
        <f t="shared" si="1"/>
        <v>396834.05</v>
      </c>
      <c r="O36" s="148">
        <f t="shared" si="2"/>
        <v>71430.13</v>
      </c>
    </row>
    <row r="37" spans="1:15">
      <c r="A37" s="241">
        <f t="shared" si="4"/>
        <v>22</v>
      </c>
      <c r="B37" s="292" t="s">
        <v>321</v>
      </c>
      <c r="C37" s="204"/>
      <c r="D37" s="204"/>
      <c r="E37" s="237"/>
      <c r="F37" s="248">
        <v>0.18</v>
      </c>
      <c r="G37" s="238"/>
      <c r="H37" s="249" t="s">
        <v>322</v>
      </c>
      <c r="I37" s="293" t="s">
        <v>306</v>
      </c>
      <c r="J37" s="293">
        <v>1529</v>
      </c>
      <c r="K37" s="290">
        <v>736.4</v>
      </c>
      <c r="L37" s="147">
        <v>0.18</v>
      </c>
      <c r="M37" s="147">
        <f t="shared" si="0"/>
        <v>624.07000000000005</v>
      </c>
      <c r="N37" s="147">
        <f t="shared" si="1"/>
        <v>954203.03</v>
      </c>
      <c r="O37" s="148">
        <f t="shared" si="2"/>
        <v>171756.55</v>
      </c>
    </row>
    <row r="38" spans="1:15">
      <c r="A38" s="241">
        <f t="shared" si="4"/>
        <v>23</v>
      </c>
      <c r="B38" s="292" t="s">
        <v>323</v>
      </c>
      <c r="C38" s="204"/>
      <c r="D38" s="204"/>
      <c r="E38" s="237"/>
      <c r="F38" s="248">
        <v>0.18</v>
      </c>
      <c r="G38" s="238"/>
      <c r="H38" s="249" t="s">
        <v>324</v>
      </c>
      <c r="I38" s="293" t="s">
        <v>306</v>
      </c>
      <c r="J38" s="293">
        <v>942</v>
      </c>
      <c r="K38" s="290">
        <v>961.3</v>
      </c>
      <c r="L38" s="147">
        <v>0.18</v>
      </c>
      <c r="M38" s="147">
        <f t="shared" si="0"/>
        <v>814.66</v>
      </c>
      <c r="N38" s="147">
        <f t="shared" si="1"/>
        <v>767409.72</v>
      </c>
      <c r="O38" s="148">
        <f t="shared" si="2"/>
        <v>138133.75</v>
      </c>
    </row>
    <row r="39" spans="1:15">
      <c r="A39" s="241">
        <f t="shared" si="4"/>
        <v>24</v>
      </c>
      <c r="B39" s="292" t="s">
        <v>325</v>
      </c>
      <c r="C39" s="204"/>
      <c r="D39" s="204"/>
      <c r="E39" s="237"/>
      <c r="F39" s="248">
        <v>0.18</v>
      </c>
      <c r="G39" s="238"/>
      <c r="H39" s="249" t="s">
        <v>326</v>
      </c>
      <c r="I39" s="293" t="s">
        <v>306</v>
      </c>
      <c r="J39" s="293">
        <v>5</v>
      </c>
      <c r="K39" s="290">
        <v>764.95</v>
      </c>
      <c r="L39" s="147">
        <v>0.18</v>
      </c>
      <c r="M39" s="147">
        <f t="shared" si="0"/>
        <v>648.26</v>
      </c>
      <c r="N39" s="147">
        <f t="shared" si="1"/>
        <v>3241.3</v>
      </c>
      <c r="O39" s="148">
        <f t="shared" si="2"/>
        <v>583.42999999999995</v>
      </c>
    </row>
    <row r="40" spans="1:15">
      <c r="A40" s="241">
        <f t="shared" si="4"/>
        <v>25</v>
      </c>
      <c r="B40" s="292" t="s">
        <v>327</v>
      </c>
      <c r="C40" s="204"/>
      <c r="D40" s="204"/>
      <c r="E40" s="237"/>
      <c r="F40" s="248">
        <v>0.18</v>
      </c>
      <c r="G40" s="238"/>
      <c r="H40" s="249" t="s">
        <v>328</v>
      </c>
      <c r="I40" s="293" t="s">
        <v>306</v>
      </c>
      <c r="J40" s="293">
        <v>43</v>
      </c>
      <c r="K40" s="290">
        <v>951.1</v>
      </c>
      <c r="L40" s="147">
        <v>0.18</v>
      </c>
      <c r="M40" s="147">
        <f t="shared" si="0"/>
        <v>806.02</v>
      </c>
      <c r="N40" s="147">
        <f t="shared" si="1"/>
        <v>34658.86</v>
      </c>
      <c r="O40" s="148">
        <f t="shared" si="2"/>
        <v>6238.59</v>
      </c>
    </row>
    <row r="41" spans="1:15" ht="124.5" customHeight="1">
      <c r="A41" s="241">
        <f t="shared" si="4"/>
        <v>26</v>
      </c>
      <c r="B41" s="292" t="s">
        <v>329</v>
      </c>
      <c r="C41" s="204"/>
      <c r="D41" s="204"/>
      <c r="E41" s="237"/>
      <c r="F41" s="248">
        <v>0.18</v>
      </c>
      <c r="G41" s="238"/>
      <c r="H41" s="249" t="s">
        <v>330</v>
      </c>
      <c r="I41" s="293" t="s">
        <v>272</v>
      </c>
      <c r="J41" s="293">
        <v>1</v>
      </c>
      <c r="K41" s="290">
        <v>20355.8</v>
      </c>
      <c r="L41" s="147">
        <v>0.18</v>
      </c>
      <c r="M41" s="147">
        <f t="shared" si="0"/>
        <v>17250.68</v>
      </c>
      <c r="N41" s="147">
        <f t="shared" si="1"/>
        <v>17250.68</v>
      </c>
      <c r="O41" s="148">
        <f t="shared" si="2"/>
        <v>3105.12</v>
      </c>
    </row>
    <row r="42" spans="1:15" ht="45">
      <c r="A42" s="241">
        <f t="shared" si="4"/>
        <v>27</v>
      </c>
      <c r="B42" s="292" t="s">
        <v>331</v>
      </c>
      <c r="C42" s="204"/>
      <c r="D42" s="204"/>
      <c r="E42" s="237"/>
      <c r="F42" s="248">
        <v>0.18</v>
      </c>
      <c r="G42" s="238"/>
      <c r="H42" s="249" t="s">
        <v>332</v>
      </c>
      <c r="I42" s="293" t="s">
        <v>333</v>
      </c>
      <c r="J42" s="293">
        <v>19434</v>
      </c>
      <c r="K42" s="290">
        <v>107.85</v>
      </c>
      <c r="L42" s="147">
        <v>0.18</v>
      </c>
      <c r="M42" s="147">
        <f t="shared" si="0"/>
        <v>91.4</v>
      </c>
      <c r="N42" s="147">
        <f t="shared" si="1"/>
        <v>1776267.6</v>
      </c>
      <c r="O42" s="148">
        <f t="shared" si="2"/>
        <v>319728.17</v>
      </c>
    </row>
    <row r="43" spans="1:15" ht="45">
      <c r="A43" s="241">
        <f t="shared" si="4"/>
        <v>28</v>
      </c>
      <c r="B43" s="292" t="s">
        <v>334</v>
      </c>
      <c r="C43" s="204"/>
      <c r="D43" s="204"/>
      <c r="E43" s="237"/>
      <c r="F43" s="248">
        <v>0.18</v>
      </c>
      <c r="G43" s="238"/>
      <c r="H43" s="249" t="s">
        <v>335</v>
      </c>
      <c r="I43" s="293" t="s">
        <v>333</v>
      </c>
      <c r="J43" s="293">
        <v>32175</v>
      </c>
      <c r="K43" s="290">
        <v>107.85</v>
      </c>
      <c r="L43" s="147">
        <v>0.18</v>
      </c>
      <c r="M43" s="147">
        <f t="shared" si="0"/>
        <v>91.4</v>
      </c>
      <c r="N43" s="147">
        <f t="shared" si="1"/>
        <v>2940795</v>
      </c>
      <c r="O43" s="148">
        <f t="shared" si="2"/>
        <v>529343.1</v>
      </c>
    </row>
    <row r="44" spans="1:15" ht="30">
      <c r="A44" s="241">
        <f t="shared" si="4"/>
        <v>29</v>
      </c>
      <c r="B44" s="292" t="s">
        <v>336</v>
      </c>
      <c r="C44" s="204"/>
      <c r="D44" s="204"/>
      <c r="E44" s="237"/>
      <c r="F44" s="248">
        <v>0.18</v>
      </c>
      <c r="G44" s="238"/>
      <c r="H44" s="249" t="s">
        <v>337</v>
      </c>
      <c r="I44" s="293" t="s">
        <v>284</v>
      </c>
      <c r="J44" s="293">
        <v>133</v>
      </c>
      <c r="K44" s="290">
        <v>78.400000000000006</v>
      </c>
      <c r="L44" s="147">
        <v>0.18</v>
      </c>
      <c r="M44" s="147">
        <f t="shared" si="0"/>
        <v>66.44</v>
      </c>
      <c r="N44" s="147">
        <f t="shared" si="1"/>
        <v>8836.52</v>
      </c>
      <c r="O44" s="148">
        <f t="shared" si="2"/>
        <v>1590.57</v>
      </c>
    </row>
    <row r="45" spans="1:15" ht="255">
      <c r="A45" s="241">
        <f t="shared" si="4"/>
        <v>30</v>
      </c>
      <c r="B45" s="292" t="s">
        <v>338</v>
      </c>
      <c r="C45" s="204"/>
      <c r="D45" s="204"/>
      <c r="E45" s="237"/>
      <c r="F45" s="248">
        <v>0.18</v>
      </c>
      <c r="G45" s="238"/>
      <c r="H45" s="249" t="s">
        <v>339</v>
      </c>
      <c r="I45" s="293" t="s">
        <v>272</v>
      </c>
      <c r="J45" s="293">
        <v>150</v>
      </c>
      <c r="K45" s="290">
        <v>9504.75</v>
      </c>
      <c r="L45" s="147">
        <v>0.18</v>
      </c>
      <c r="M45" s="147">
        <f t="shared" si="0"/>
        <v>8054.87</v>
      </c>
      <c r="N45" s="147">
        <f t="shared" si="1"/>
        <v>1208230.5</v>
      </c>
      <c r="O45" s="148">
        <f t="shared" si="2"/>
        <v>217481.49</v>
      </c>
    </row>
    <row r="46" spans="1:15" ht="255">
      <c r="A46" s="241">
        <f t="shared" si="4"/>
        <v>31</v>
      </c>
      <c r="B46" s="292" t="s">
        <v>340</v>
      </c>
      <c r="C46" s="204"/>
      <c r="D46" s="204"/>
      <c r="E46" s="237"/>
      <c r="F46" s="248">
        <v>0.18</v>
      </c>
      <c r="G46" s="238"/>
      <c r="H46" s="249" t="s">
        <v>341</v>
      </c>
      <c r="I46" s="293" t="s">
        <v>272</v>
      </c>
      <c r="J46" s="293">
        <v>248</v>
      </c>
      <c r="K46" s="290">
        <v>9860.4</v>
      </c>
      <c r="L46" s="147">
        <v>0.18</v>
      </c>
      <c r="M46" s="147">
        <f t="shared" si="0"/>
        <v>8356.27</v>
      </c>
      <c r="N46" s="147">
        <f t="shared" si="1"/>
        <v>2072354.96</v>
      </c>
      <c r="O46" s="148">
        <f t="shared" si="2"/>
        <v>373023.89</v>
      </c>
    </row>
    <row r="47" spans="1:15" ht="30">
      <c r="A47" s="241">
        <f t="shared" si="4"/>
        <v>32</v>
      </c>
      <c r="B47" s="292" t="s">
        <v>342</v>
      </c>
      <c r="C47" s="204"/>
      <c r="D47" s="204"/>
      <c r="E47" s="237"/>
      <c r="F47" s="248">
        <v>0.18</v>
      </c>
      <c r="G47" s="238"/>
      <c r="H47" s="249" t="s">
        <v>343</v>
      </c>
      <c r="I47" s="293" t="s">
        <v>344</v>
      </c>
      <c r="J47" s="293">
        <v>278</v>
      </c>
      <c r="K47" s="290">
        <v>733.5</v>
      </c>
      <c r="L47" s="147">
        <v>0.18</v>
      </c>
      <c r="M47" s="147">
        <f t="shared" si="0"/>
        <v>621.61</v>
      </c>
      <c r="N47" s="147">
        <f t="shared" si="1"/>
        <v>172807.58</v>
      </c>
      <c r="O47" s="148">
        <f t="shared" si="2"/>
        <v>31105.360000000001</v>
      </c>
    </row>
    <row r="48" spans="1:15">
      <c r="A48" s="241"/>
      <c r="B48" s="292"/>
      <c r="C48" s="204"/>
      <c r="D48" s="204"/>
      <c r="E48" s="237"/>
      <c r="F48" s="248">
        <v>0.18</v>
      </c>
      <c r="G48" s="238"/>
      <c r="H48" s="306" t="s">
        <v>345</v>
      </c>
      <c r="I48" s="293"/>
      <c r="J48" s="293"/>
      <c r="K48" s="290"/>
      <c r="L48" s="147">
        <v>0.18</v>
      </c>
      <c r="M48" s="147">
        <f t="shared" si="0"/>
        <v>0</v>
      </c>
      <c r="N48" s="147">
        <f t="shared" si="1"/>
        <v>0</v>
      </c>
      <c r="O48" s="148">
        <f t="shared" si="2"/>
        <v>0</v>
      </c>
    </row>
    <row r="49" spans="1:15" ht="30">
      <c r="A49" s="241">
        <f>+A47+1</f>
        <v>33</v>
      </c>
      <c r="B49" s="292" t="s">
        <v>346</v>
      </c>
      <c r="C49" s="204"/>
      <c r="D49" s="204"/>
      <c r="E49" s="237"/>
      <c r="F49" s="248">
        <v>0.18</v>
      </c>
      <c r="G49" s="238"/>
      <c r="H49" s="249" t="s">
        <v>347</v>
      </c>
      <c r="I49" s="293" t="s">
        <v>306</v>
      </c>
      <c r="J49" s="293">
        <v>86</v>
      </c>
      <c r="K49" s="290">
        <v>104.8</v>
      </c>
      <c r="L49" s="147">
        <v>0.18</v>
      </c>
      <c r="M49" s="147">
        <f t="shared" si="0"/>
        <v>88.81</v>
      </c>
      <c r="N49" s="147">
        <f t="shared" si="1"/>
        <v>7637.66</v>
      </c>
      <c r="O49" s="148">
        <f t="shared" si="2"/>
        <v>1374.78</v>
      </c>
    </row>
    <row r="50" spans="1:15">
      <c r="A50" s="241"/>
      <c r="B50" s="292"/>
      <c r="C50" s="204"/>
      <c r="D50" s="204"/>
      <c r="E50" s="237"/>
      <c r="F50" s="248">
        <v>0.18</v>
      </c>
      <c r="G50" s="238"/>
      <c r="H50" s="306" t="s">
        <v>348</v>
      </c>
      <c r="I50" s="293"/>
      <c r="J50" s="293"/>
      <c r="K50" s="290"/>
      <c r="L50" s="147">
        <v>0.18</v>
      </c>
      <c r="M50" s="147"/>
      <c r="N50" s="147"/>
      <c r="O50" s="148"/>
    </row>
    <row r="51" spans="1:15" ht="135">
      <c r="A51" s="241">
        <f>+A49+1</f>
        <v>34</v>
      </c>
      <c r="B51" s="292" t="s">
        <v>349</v>
      </c>
      <c r="C51" s="204"/>
      <c r="D51" s="204"/>
      <c r="E51" s="237"/>
      <c r="F51" s="248">
        <v>0.18</v>
      </c>
      <c r="G51" s="238"/>
      <c r="H51" s="249" t="s">
        <v>350</v>
      </c>
      <c r="I51" s="293" t="s">
        <v>306</v>
      </c>
      <c r="J51" s="293">
        <v>21</v>
      </c>
      <c r="K51" s="290">
        <v>5413.5</v>
      </c>
      <c r="L51" s="147">
        <v>0.18</v>
      </c>
      <c r="M51" s="147">
        <f t="shared" si="0"/>
        <v>4587.71</v>
      </c>
      <c r="N51" s="147">
        <f t="shared" si="1"/>
        <v>96341.91</v>
      </c>
      <c r="O51" s="148">
        <f t="shared" si="2"/>
        <v>17341.54</v>
      </c>
    </row>
    <row r="52" spans="1:15" ht="135">
      <c r="A52" s="241">
        <f>+A51+1</f>
        <v>35</v>
      </c>
      <c r="B52" s="292" t="s">
        <v>351</v>
      </c>
      <c r="C52" s="204"/>
      <c r="D52" s="204"/>
      <c r="E52" s="237"/>
      <c r="F52" s="248">
        <v>0.18</v>
      </c>
      <c r="G52" s="238"/>
      <c r="H52" s="249" t="s">
        <v>352</v>
      </c>
      <c r="I52" s="293" t="s">
        <v>306</v>
      </c>
      <c r="J52" s="293">
        <v>16</v>
      </c>
      <c r="K52" s="290">
        <v>5136.3</v>
      </c>
      <c r="L52" s="147">
        <v>0.18</v>
      </c>
      <c r="M52" s="147">
        <f t="shared" si="0"/>
        <v>4352.8</v>
      </c>
      <c r="N52" s="147">
        <f t="shared" si="1"/>
        <v>69644.800000000003</v>
      </c>
      <c r="O52" s="148">
        <f t="shared" si="2"/>
        <v>12536.06</v>
      </c>
    </row>
    <row r="53" spans="1:15" ht="45">
      <c r="A53" s="241">
        <f>+A52+1</f>
        <v>36</v>
      </c>
      <c r="B53" s="292" t="s">
        <v>353</v>
      </c>
      <c r="C53" s="204"/>
      <c r="D53" s="204"/>
      <c r="E53" s="237"/>
      <c r="F53" s="248">
        <v>0.18</v>
      </c>
      <c r="G53" s="238"/>
      <c r="H53" s="249" t="s">
        <v>354</v>
      </c>
      <c r="I53" s="293" t="s">
        <v>284</v>
      </c>
      <c r="J53" s="293">
        <v>154</v>
      </c>
      <c r="K53" s="290">
        <v>510.95</v>
      </c>
      <c r="L53" s="147">
        <v>0.18</v>
      </c>
      <c r="M53" s="147">
        <f t="shared" si="0"/>
        <v>433.01</v>
      </c>
      <c r="N53" s="147">
        <f t="shared" si="1"/>
        <v>66683.539999999994</v>
      </c>
      <c r="O53" s="148">
        <f t="shared" si="2"/>
        <v>12003.04</v>
      </c>
    </row>
    <row r="54" spans="1:15" ht="45">
      <c r="A54" s="241">
        <f>+A53+1</f>
        <v>37</v>
      </c>
      <c r="B54" s="292" t="s">
        <v>355</v>
      </c>
      <c r="C54" s="204"/>
      <c r="D54" s="204"/>
      <c r="E54" s="237"/>
      <c r="F54" s="248">
        <v>0.18</v>
      </c>
      <c r="G54" s="238"/>
      <c r="H54" s="249" t="s">
        <v>356</v>
      </c>
      <c r="I54" s="293" t="s">
        <v>284</v>
      </c>
      <c r="J54" s="293">
        <v>8</v>
      </c>
      <c r="K54" s="290">
        <v>568.54999999999995</v>
      </c>
      <c r="L54" s="147">
        <v>0.18</v>
      </c>
      <c r="M54" s="147">
        <f t="shared" si="0"/>
        <v>481.82</v>
      </c>
      <c r="N54" s="147">
        <f t="shared" si="1"/>
        <v>3854.56</v>
      </c>
      <c r="O54" s="148">
        <f t="shared" si="2"/>
        <v>693.82</v>
      </c>
    </row>
    <row r="55" spans="1:15" ht="60">
      <c r="A55" s="241">
        <f>+A54+1</f>
        <v>38</v>
      </c>
      <c r="B55" s="292" t="s">
        <v>357</v>
      </c>
      <c r="C55" s="204"/>
      <c r="D55" s="204"/>
      <c r="E55" s="237"/>
      <c r="F55" s="248">
        <v>0.18</v>
      </c>
      <c r="G55" s="238"/>
      <c r="H55" s="249" t="s">
        <v>358</v>
      </c>
      <c r="I55" s="293" t="s">
        <v>359</v>
      </c>
      <c r="J55" s="293">
        <v>4</v>
      </c>
      <c r="K55" s="290">
        <v>978.7</v>
      </c>
      <c r="L55" s="147">
        <v>0.18</v>
      </c>
      <c r="M55" s="147">
        <f t="shared" si="0"/>
        <v>829.41</v>
      </c>
      <c r="N55" s="147">
        <f t="shared" si="1"/>
        <v>3317.64</v>
      </c>
      <c r="O55" s="148">
        <f t="shared" si="2"/>
        <v>597.17999999999995</v>
      </c>
    </row>
    <row r="56" spans="1:15">
      <c r="A56" s="241"/>
      <c r="B56" s="292"/>
      <c r="C56" s="204"/>
      <c r="D56" s="204"/>
      <c r="E56" s="237"/>
      <c r="F56" s="248">
        <v>0.18</v>
      </c>
      <c r="G56" s="238"/>
      <c r="H56" s="306" t="s">
        <v>360</v>
      </c>
      <c r="I56" s="293"/>
      <c r="J56" s="293"/>
      <c r="K56" s="290"/>
      <c r="L56" s="147">
        <v>0.18</v>
      </c>
      <c r="M56" s="147"/>
      <c r="N56" s="147"/>
      <c r="O56" s="148"/>
    </row>
    <row r="57" spans="1:15" ht="63">
      <c r="A57" s="241">
        <f>+A55+1</f>
        <v>39</v>
      </c>
      <c r="B57" s="320" t="s">
        <v>361</v>
      </c>
      <c r="C57" s="204"/>
      <c r="D57" s="204"/>
      <c r="E57" s="237"/>
      <c r="F57" s="248">
        <v>0.18</v>
      </c>
      <c r="G57" s="238"/>
      <c r="H57" s="318" t="s">
        <v>362</v>
      </c>
      <c r="I57" s="293" t="s">
        <v>272</v>
      </c>
      <c r="J57" s="293">
        <v>4</v>
      </c>
      <c r="K57" s="290">
        <v>176.4</v>
      </c>
      <c r="L57" s="147">
        <v>0.18</v>
      </c>
      <c r="M57" s="147">
        <f t="shared" si="0"/>
        <v>149.49</v>
      </c>
      <c r="N57" s="147">
        <f t="shared" si="1"/>
        <v>597.96</v>
      </c>
      <c r="O57" s="148">
        <f t="shared" si="2"/>
        <v>107.63</v>
      </c>
    </row>
    <row r="58" spans="1:15" ht="63">
      <c r="A58" s="241">
        <f t="shared" ref="A58:A65" si="5">+A57+1</f>
        <v>40</v>
      </c>
      <c r="B58" s="320" t="s">
        <v>363</v>
      </c>
      <c r="C58" s="204"/>
      <c r="D58" s="204"/>
      <c r="E58" s="237"/>
      <c r="F58" s="248">
        <v>0.18</v>
      </c>
      <c r="G58" s="238"/>
      <c r="H58" s="319" t="s">
        <v>364</v>
      </c>
      <c r="I58" s="293" t="s">
        <v>306</v>
      </c>
      <c r="J58" s="293">
        <v>95</v>
      </c>
      <c r="K58" s="290">
        <v>238.35</v>
      </c>
      <c r="L58" s="147">
        <v>0.18</v>
      </c>
      <c r="M58" s="147">
        <f t="shared" si="0"/>
        <v>201.99</v>
      </c>
      <c r="N58" s="147">
        <f t="shared" si="1"/>
        <v>19189.05</v>
      </c>
      <c r="O58" s="148">
        <f t="shared" si="2"/>
        <v>3454.03</v>
      </c>
    </row>
    <row r="59" spans="1:15" ht="47.25">
      <c r="A59" s="241">
        <f t="shared" si="5"/>
        <v>41</v>
      </c>
      <c r="B59" s="320" t="s">
        <v>365</v>
      </c>
      <c r="C59" s="204"/>
      <c r="D59" s="204"/>
      <c r="E59" s="237"/>
      <c r="F59" s="248">
        <v>0.18</v>
      </c>
      <c r="G59" s="238"/>
      <c r="H59" s="319" t="s">
        <v>366</v>
      </c>
      <c r="I59" s="296" t="s">
        <v>306</v>
      </c>
      <c r="J59" s="296">
        <v>4</v>
      </c>
      <c r="K59" s="290">
        <v>106.35</v>
      </c>
      <c r="L59" s="147">
        <v>0.18</v>
      </c>
      <c r="M59" s="147">
        <f t="shared" si="0"/>
        <v>90.13</v>
      </c>
      <c r="N59" s="147">
        <f t="shared" si="1"/>
        <v>360.52</v>
      </c>
      <c r="O59" s="148">
        <f t="shared" si="2"/>
        <v>64.89</v>
      </c>
    </row>
    <row r="60" spans="1:15" ht="63">
      <c r="A60" s="241">
        <f t="shared" si="5"/>
        <v>42</v>
      </c>
      <c r="B60" s="320" t="s">
        <v>367</v>
      </c>
      <c r="C60" s="204"/>
      <c r="D60" s="204"/>
      <c r="E60" s="237"/>
      <c r="F60" s="248">
        <v>0.18</v>
      </c>
      <c r="G60" s="238"/>
      <c r="H60" s="319" t="s">
        <v>368</v>
      </c>
      <c r="I60" s="293" t="s">
        <v>306</v>
      </c>
      <c r="J60" s="293">
        <v>4</v>
      </c>
      <c r="K60" s="290">
        <v>278.25</v>
      </c>
      <c r="L60" s="147">
        <v>0.18</v>
      </c>
      <c r="M60" s="147">
        <f t="shared" si="0"/>
        <v>235.81</v>
      </c>
      <c r="N60" s="147">
        <f t="shared" si="1"/>
        <v>943.24</v>
      </c>
      <c r="O60" s="148">
        <f t="shared" si="2"/>
        <v>169.78</v>
      </c>
    </row>
    <row r="61" spans="1:15" ht="63">
      <c r="A61" s="241">
        <f t="shared" si="5"/>
        <v>43</v>
      </c>
      <c r="B61" s="320" t="s">
        <v>369</v>
      </c>
      <c r="C61" s="204"/>
      <c r="D61" s="204"/>
      <c r="E61" s="237"/>
      <c r="F61" s="248">
        <v>0.18</v>
      </c>
      <c r="G61" s="238"/>
      <c r="H61" s="319" t="s">
        <v>370</v>
      </c>
      <c r="I61" s="293" t="s">
        <v>306</v>
      </c>
      <c r="J61" s="293">
        <v>6</v>
      </c>
      <c r="K61" s="290">
        <v>308</v>
      </c>
      <c r="L61" s="147">
        <v>0.18</v>
      </c>
      <c r="M61" s="147">
        <f t="shared" si="0"/>
        <v>261.02</v>
      </c>
      <c r="N61" s="147">
        <f t="shared" si="1"/>
        <v>1566.12</v>
      </c>
      <c r="O61" s="148">
        <f t="shared" si="2"/>
        <v>281.89999999999998</v>
      </c>
    </row>
    <row r="62" spans="1:15" ht="63">
      <c r="A62" s="241">
        <f t="shared" si="5"/>
        <v>44</v>
      </c>
      <c r="B62" s="320" t="s">
        <v>371</v>
      </c>
      <c r="C62" s="204"/>
      <c r="D62" s="204"/>
      <c r="E62" s="237"/>
      <c r="F62" s="248">
        <v>0.18</v>
      </c>
      <c r="G62" s="238"/>
      <c r="H62" s="319" t="s">
        <v>372</v>
      </c>
      <c r="I62" s="293" t="s">
        <v>306</v>
      </c>
      <c r="J62" s="293">
        <v>22</v>
      </c>
      <c r="K62" s="290">
        <v>854.65</v>
      </c>
      <c r="L62" s="147">
        <v>0.18</v>
      </c>
      <c r="M62" s="147">
        <f t="shared" si="0"/>
        <v>724.28</v>
      </c>
      <c r="N62" s="147">
        <f t="shared" si="1"/>
        <v>15934.16</v>
      </c>
      <c r="O62" s="148">
        <f t="shared" si="2"/>
        <v>2868.15</v>
      </c>
    </row>
    <row r="63" spans="1:15" ht="63">
      <c r="A63" s="241">
        <f t="shared" si="5"/>
        <v>45</v>
      </c>
      <c r="B63" s="320" t="s">
        <v>373</v>
      </c>
      <c r="C63" s="204"/>
      <c r="D63" s="204"/>
      <c r="E63" s="237"/>
      <c r="F63" s="248">
        <v>0.18</v>
      </c>
      <c r="G63" s="238"/>
      <c r="H63" s="319" t="s">
        <v>374</v>
      </c>
      <c r="I63" s="293" t="s">
        <v>306</v>
      </c>
      <c r="J63" s="293">
        <v>12</v>
      </c>
      <c r="K63" s="290">
        <v>256.64999999999998</v>
      </c>
      <c r="L63" s="147">
        <v>0.18</v>
      </c>
      <c r="M63" s="147">
        <f t="shared" si="0"/>
        <v>217.5</v>
      </c>
      <c r="N63" s="147">
        <f t="shared" si="1"/>
        <v>2610</v>
      </c>
      <c r="O63" s="148">
        <f t="shared" si="2"/>
        <v>469.8</v>
      </c>
    </row>
    <row r="64" spans="1:15" ht="63">
      <c r="A64" s="241">
        <f t="shared" si="5"/>
        <v>46</v>
      </c>
      <c r="B64" s="320" t="s">
        <v>375</v>
      </c>
      <c r="C64" s="204"/>
      <c r="D64" s="204"/>
      <c r="E64" s="237"/>
      <c r="F64" s="248">
        <v>0.18</v>
      </c>
      <c r="G64" s="238"/>
      <c r="H64" s="319" t="s">
        <v>376</v>
      </c>
      <c r="I64" s="293" t="s">
        <v>333</v>
      </c>
      <c r="J64" s="293">
        <v>12</v>
      </c>
      <c r="K64" s="290">
        <v>121.65</v>
      </c>
      <c r="L64" s="147">
        <v>0.18</v>
      </c>
      <c r="M64" s="147">
        <f t="shared" si="0"/>
        <v>103.09</v>
      </c>
      <c r="N64" s="147">
        <f t="shared" si="1"/>
        <v>1237.08</v>
      </c>
      <c r="O64" s="148">
        <f t="shared" si="2"/>
        <v>222.67</v>
      </c>
    </row>
    <row r="65" spans="1:15" ht="78.75">
      <c r="A65" s="241">
        <f t="shared" si="5"/>
        <v>47</v>
      </c>
      <c r="B65" s="320" t="s">
        <v>377</v>
      </c>
      <c r="C65" s="204"/>
      <c r="D65" s="204"/>
      <c r="E65" s="237"/>
      <c r="F65" s="248">
        <v>0.18</v>
      </c>
      <c r="G65" s="238"/>
      <c r="H65" s="319" t="s">
        <v>378</v>
      </c>
      <c r="I65" s="294" t="s">
        <v>359</v>
      </c>
      <c r="J65" s="294">
        <v>22</v>
      </c>
      <c r="K65" s="290">
        <v>983.15</v>
      </c>
      <c r="L65" s="147">
        <v>0.18</v>
      </c>
      <c r="M65" s="147">
        <f t="shared" si="0"/>
        <v>833.18</v>
      </c>
      <c r="N65" s="147">
        <f t="shared" si="1"/>
        <v>18329.96</v>
      </c>
      <c r="O65" s="148">
        <f t="shared" si="2"/>
        <v>3299.39</v>
      </c>
    </row>
    <row r="66" spans="1:15">
      <c r="A66" s="241"/>
      <c r="B66" s="292"/>
      <c r="C66" s="204"/>
      <c r="D66" s="204"/>
      <c r="E66" s="237"/>
      <c r="F66" s="248">
        <v>0.18</v>
      </c>
      <c r="G66" s="238"/>
      <c r="H66" s="306" t="s">
        <v>379</v>
      </c>
      <c r="I66" s="293"/>
      <c r="J66" s="293"/>
      <c r="K66" s="290"/>
      <c r="L66" s="147"/>
      <c r="M66" s="147"/>
      <c r="N66" s="147"/>
      <c r="O66" s="148"/>
    </row>
    <row r="67" spans="1:15" ht="60">
      <c r="A67" s="241">
        <f>+A65+1</f>
        <v>48</v>
      </c>
      <c r="B67" s="292" t="s">
        <v>380</v>
      </c>
      <c r="C67" s="204"/>
      <c r="D67" s="204"/>
      <c r="E67" s="237"/>
      <c r="F67" s="248">
        <v>0.18</v>
      </c>
      <c r="G67" s="238"/>
      <c r="H67" s="249" t="s">
        <v>381</v>
      </c>
      <c r="I67" s="293" t="s">
        <v>333</v>
      </c>
      <c r="J67" s="293">
        <v>13551</v>
      </c>
      <c r="K67" s="290">
        <v>206.35</v>
      </c>
      <c r="L67" s="147">
        <v>0.18</v>
      </c>
      <c r="M67" s="147">
        <f t="shared" ref="M67:M115" si="6">ROUND(K67/(1+L67),2)</f>
        <v>174.87</v>
      </c>
      <c r="N67" s="147">
        <f t="shared" ref="N67:N115" si="7">ROUND(M67*J67,2)</f>
        <v>2369663.37</v>
      </c>
      <c r="O67" s="148">
        <f t="shared" ref="O67:O115" si="8">ROUND(N67*18%,2)</f>
        <v>426539.41</v>
      </c>
    </row>
    <row r="68" spans="1:15" ht="75">
      <c r="A68" s="241">
        <f>+A67+1</f>
        <v>49</v>
      </c>
      <c r="B68" s="292" t="s">
        <v>382</v>
      </c>
      <c r="C68" s="204"/>
      <c r="D68" s="204"/>
      <c r="E68" s="237"/>
      <c r="F68" s="248">
        <v>0.18</v>
      </c>
      <c r="G68" s="238"/>
      <c r="H68" s="249" t="s">
        <v>383</v>
      </c>
      <c r="I68" s="293" t="s">
        <v>333</v>
      </c>
      <c r="J68" s="293">
        <v>698</v>
      </c>
      <c r="K68" s="290">
        <v>172.6</v>
      </c>
      <c r="L68" s="147">
        <v>0.18</v>
      </c>
      <c r="M68" s="147">
        <f t="shared" si="6"/>
        <v>146.27000000000001</v>
      </c>
      <c r="N68" s="147">
        <f t="shared" si="7"/>
        <v>102096.46</v>
      </c>
      <c r="O68" s="148">
        <f t="shared" si="8"/>
        <v>18377.36</v>
      </c>
    </row>
    <row r="69" spans="1:15" ht="150">
      <c r="A69" s="241">
        <f>+A68+1</f>
        <v>50</v>
      </c>
      <c r="B69" s="292" t="s">
        <v>384</v>
      </c>
      <c r="C69" s="204"/>
      <c r="D69" s="204"/>
      <c r="E69" s="237"/>
      <c r="F69" s="248">
        <v>0.18</v>
      </c>
      <c r="G69" s="238"/>
      <c r="H69" s="249" t="s">
        <v>385</v>
      </c>
      <c r="I69" s="293" t="s">
        <v>333</v>
      </c>
      <c r="J69" s="293">
        <v>197</v>
      </c>
      <c r="K69" s="290">
        <v>772.4</v>
      </c>
      <c r="L69" s="147">
        <v>0.18</v>
      </c>
      <c r="M69" s="147">
        <f t="shared" si="6"/>
        <v>654.58000000000004</v>
      </c>
      <c r="N69" s="147">
        <f t="shared" si="7"/>
        <v>128952.26</v>
      </c>
      <c r="O69" s="148">
        <f t="shared" si="8"/>
        <v>23211.41</v>
      </c>
    </row>
    <row r="70" spans="1:15">
      <c r="A70" s="241"/>
      <c r="B70" s="292"/>
      <c r="C70" s="204"/>
      <c r="D70" s="204"/>
      <c r="E70" s="237"/>
      <c r="F70" s="248">
        <v>0.18</v>
      </c>
      <c r="G70" s="238"/>
      <c r="H70" s="306" t="s">
        <v>386</v>
      </c>
      <c r="I70" s="293"/>
      <c r="J70" s="293"/>
      <c r="K70" s="290"/>
      <c r="L70" s="147">
        <v>0.18</v>
      </c>
      <c r="M70" s="147"/>
      <c r="N70" s="147"/>
      <c r="O70" s="148"/>
    </row>
    <row r="71" spans="1:15" ht="63">
      <c r="A71" s="241">
        <f>+A69+1</f>
        <v>51</v>
      </c>
      <c r="B71" s="320" t="s">
        <v>387</v>
      </c>
      <c r="C71" s="204"/>
      <c r="D71" s="204"/>
      <c r="E71" s="237"/>
      <c r="F71" s="248">
        <v>0.18</v>
      </c>
      <c r="G71" s="238"/>
      <c r="H71" s="319" t="s">
        <v>388</v>
      </c>
      <c r="I71" s="293" t="s">
        <v>306</v>
      </c>
      <c r="J71" s="293">
        <v>309</v>
      </c>
      <c r="K71" s="290">
        <v>614.20000000000005</v>
      </c>
      <c r="L71" s="147">
        <v>0.18</v>
      </c>
      <c r="M71" s="147">
        <f t="shared" si="6"/>
        <v>520.51</v>
      </c>
      <c r="N71" s="147">
        <f t="shared" si="7"/>
        <v>160837.59</v>
      </c>
      <c r="O71" s="148">
        <f t="shared" si="8"/>
        <v>28950.77</v>
      </c>
    </row>
    <row r="72" spans="1:15" ht="90">
      <c r="A72" s="241">
        <f t="shared" ref="A72:A77" si="9">+A71+1</f>
        <v>52</v>
      </c>
      <c r="B72" s="292" t="s">
        <v>389</v>
      </c>
      <c r="C72" s="204"/>
      <c r="D72" s="204"/>
      <c r="E72" s="237"/>
      <c r="F72" s="248">
        <v>0.18</v>
      </c>
      <c r="G72" s="238"/>
      <c r="H72" s="249" t="s">
        <v>390</v>
      </c>
      <c r="I72" s="293" t="s">
        <v>306</v>
      </c>
      <c r="J72" s="293">
        <v>39</v>
      </c>
      <c r="K72" s="290">
        <v>1096.55</v>
      </c>
      <c r="L72" s="147">
        <v>0.18</v>
      </c>
      <c r="M72" s="147">
        <f t="shared" si="6"/>
        <v>929.28</v>
      </c>
      <c r="N72" s="147">
        <f t="shared" si="7"/>
        <v>36241.919999999998</v>
      </c>
      <c r="O72" s="148">
        <f t="shared" si="8"/>
        <v>6523.55</v>
      </c>
    </row>
    <row r="73" spans="1:15" ht="105">
      <c r="A73" s="241">
        <f t="shared" si="9"/>
        <v>53</v>
      </c>
      <c r="B73" s="292" t="s">
        <v>391</v>
      </c>
      <c r="C73" s="204"/>
      <c r="D73" s="204"/>
      <c r="E73" s="237"/>
      <c r="F73" s="248">
        <v>0.18</v>
      </c>
      <c r="G73" s="238"/>
      <c r="H73" s="249" t="s">
        <v>392</v>
      </c>
      <c r="I73" s="293" t="s">
        <v>306</v>
      </c>
      <c r="J73" s="293">
        <v>149</v>
      </c>
      <c r="K73" s="290">
        <v>1112.7</v>
      </c>
      <c r="L73" s="147">
        <v>0.18</v>
      </c>
      <c r="M73" s="147">
        <f t="shared" si="6"/>
        <v>942.97</v>
      </c>
      <c r="N73" s="147">
        <f t="shared" si="7"/>
        <v>140502.53</v>
      </c>
      <c r="O73" s="148">
        <f t="shared" si="8"/>
        <v>25290.46</v>
      </c>
    </row>
    <row r="74" spans="1:15" ht="165">
      <c r="A74" s="241">
        <f t="shared" si="9"/>
        <v>54</v>
      </c>
      <c r="B74" s="292" t="s">
        <v>393</v>
      </c>
      <c r="C74" s="204"/>
      <c r="D74" s="204"/>
      <c r="E74" s="237"/>
      <c r="F74" s="248">
        <v>0.18</v>
      </c>
      <c r="G74" s="238"/>
      <c r="H74" s="249" t="s">
        <v>394</v>
      </c>
      <c r="I74" s="293" t="s">
        <v>306</v>
      </c>
      <c r="J74" s="293">
        <v>82</v>
      </c>
      <c r="K74" s="290">
        <v>1502.75</v>
      </c>
      <c r="L74" s="147">
        <v>0.18</v>
      </c>
      <c r="M74" s="147">
        <f t="shared" si="6"/>
        <v>1273.52</v>
      </c>
      <c r="N74" s="147">
        <f t="shared" si="7"/>
        <v>104428.64</v>
      </c>
      <c r="O74" s="148">
        <f t="shared" si="8"/>
        <v>18797.16</v>
      </c>
    </row>
    <row r="75" spans="1:15" ht="173.25">
      <c r="A75" s="241">
        <f t="shared" si="9"/>
        <v>55</v>
      </c>
      <c r="B75" s="292" t="s">
        <v>395</v>
      </c>
      <c r="C75" s="204"/>
      <c r="D75" s="204"/>
      <c r="E75" s="237"/>
      <c r="F75" s="248">
        <v>0.18</v>
      </c>
      <c r="G75" s="238"/>
      <c r="H75" s="319" t="s">
        <v>396</v>
      </c>
      <c r="I75" s="293" t="s">
        <v>306</v>
      </c>
      <c r="J75" s="293">
        <v>336</v>
      </c>
      <c r="K75" s="290">
        <v>1798.8</v>
      </c>
      <c r="L75" s="147">
        <v>0.18</v>
      </c>
      <c r="M75" s="147">
        <f t="shared" si="6"/>
        <v>1524.41</v>
      </c>
      <c r="N75" s="147">
        <f t="shared" si="7"/>
        <v>512201.76</v>
      </c>
      <c r="O75" s="148">
        <f t="shared" si="8"/>
        <v>92196.32</v>
      </c>
    </row>
    <row r="76" spans="1:15" ht="162.75" customHeight="1">
      <c r="A76" s="241">
        <f t="shared" si="9"/>
        <v>56</v>
      </c>
      <c r="B76" s="292" t="s">
        <v>397</v>
      </c>
      <c r="C76" s="204"/>
      <c r="D76" s="204"/>
      <c r="E76" s="237"/>
      <c r="F76" s="248">
        <v>0.18</v>
      </c>
      <c r="G76" s="238"/>
      <c r="H76" s="319" t="s">
        <v>398</v>
      </c>
      <c r="I76" s="293" t="s">
        <v>306</v>
      </c>
      <c r="J76" s="293">
        <v>125</v>
      </c>
      <c r="K76" s="290">
        <v>3186.7</v>
      </c>
      <c r="L76" s="147">
        <v>0.18</v>
      </c>
      <c r="M76" s="147">
        <f t="shared" si="6"/>
        <v>2700.59</v>
      </c>
      <c r="N76" s="147">
        <f t="shared" si="7"/>
        <v>337573.75</v>
      </c>
      <c r="O76" s="148">
        <f t="shared" si="8"/>
        <v>60763.28</v>
      </c>
    </row>
    <row r="77" spans="1:15" ht="126">
      <c r="A77" s="241">
        <f t="shared" si="9"/>
        <v>57</v>
      </c>
      <c r="B77" s="292" t="s">
        <v>399</v>
      </c>
      <c r="C77" s="204"/>
      <c r="D77" s="204"/>
      <c r="E77" s="237"/>
      <c r="F77" s="248">
        <v>0.18</v>
      </c>
      <c r="G77" s="238"/>
      <c r="H77" s="319" t="s">
        <v>400</v>
      </c>
      <c r="I77" s="293" t="s">
        <v>306</v>
      </c>
      <c r="J77" s="293">
        <v>47</v>
      </c>
      <c r="K77" s="290">
        <v>4481.3</v>
      </c>
      <c r="L77" s="147">
        <v>0.18</v>
      </c>
      <c r="M77" s="147">
        <f t="shared" si="6"/>
        <v>3797.71</v>
      </c>
      <c r="N77" s="147">
        <f t="shared" si="7"/>
        <v>178492.37</v>
      </c>
      <c r="O77" s="148">
        <f t="shared" si="8"/>
        <v>32128.63</v>
      </c>
    </row>
    <row r="78" spans="1:15">
      <c r="A78" s="241"/>
      <c r="B78" s="292"/>
      <c r="C78" s="204"/>
      <c r="D78" s="204"/>
      <c r="E78" s="237"/>
      <c r="F78" s="248">
        <v>0.18</v>
      </c>
      <c r="G78" s="238"/>
      <c r="H78" s="301" t="s">
        <v>401</v>
      </c>
      <c r="I78" s="293"/>
      <c r="J78" s="293"/>
      <c r="K78" s="290"/>
      <c r="L78" s="147">
        <v>0.18</v>
      </c>
      <c r="M78" s="147"/>
      <c r="N78" s="147"/>
      <c r="O78" s="148"/>
    </row>
    <row r="79" spans="1:15" ht="60">
      <c r="A79" s="241">
        <f>+A77+1</f>
        <v>58</v>
      </c>
      <c r="B79" s="292" t="s">
        <v>402</v>
      </c>
      <c r="C79" s="204"/>
      <c r="D79" s="204"/>
      <c r="E79" s="237"/>
      <c r="F79" s="248">
        <v>0.18</v>
      </c>
      <c r="G79" s="238"/>
      <c r="H79" s="249" t="s">
        <v>403</v>
      </c>
      <c r="I79" s="293" t="s">
        <v>284</v>
      </c>
      <c r="J79" s="293">
        <v>46</v>
      </c>
      <c r="K79" s="290">
        <v>377.4</v>
      </c>
      <c r="L79" s="147">
        <v>0.18</v>
      </c>
      <c r="M79" s="147">
        <f t="shared" si="6"/>
        <v>319.83</v>
      </c>
      <c r="N79" s="147">
        <f t="shared" si="7"/>
        <v>14712.18</v>
      </c>
      <c r="O79" s="148">
        <f t="shared" si="8"/>
        <v>2648.19</v>
      </c>
    </row>
    <row r="80" spans="1:15" ht="60">
      <c r="A80" s="241">
        <f>+A79+1</f>
        <v>59</v>
      </c>
      <c r="B80" s="292" t="s">
        <v>404</v>
      </c>
      <c r="C80" s="204"/>
      <c r="D80" s="204"/>
      <c r="E80" s="237"/>
      <c r="F80" s="248">
        <v>0.18</v>
      </c>
      <c r="G80" s="238"/>
      <c r="H80" s="249" t="s">
        <v>405</v>
      </c>
      <c r="I80" s="293"/>
      <c r="J80" s="296"/>
      <c r="K80" s="322"/>
      <c r="L80" s="147"/>
      <c r="M80" s="147"/>
      <c r="N80" s="147"/>
      <c r="O80" s="148"/>
    </row>
    <row r="81" spans="1:15">
      <c r="A81" s="241">
        <f>+A79+1</f>
        <v>59</v>
      </c>
      <c r="B81" s="292" t="s">
        <v>406</v>
      </c>
      <c r="C81" s="204"/>
      <c r="D81" s="204"/>
      <c r="E81" s="237"/>
      <c r="F81" s="248">
        <v>0.18</v>
      </c>
      <c r="G81" s="238"/>
      <c r="H81" s="249" t="s">
        <v>407</v>
      </c>
      <c r="I81" s="293" t="s">
        <v>359</v>
      </c>
      <c r="J81" s="293">
        <v>20</v>
      </c>
      <c r="K81" s="290">
        <v>136.15</v>
      </c>
      <c r="L81" s="147">
        <v>0.18</v>
      </c>
      <c r="M81" s="147">
        <f t="shared" si="6"/>
        <v>115.38</v>
      </c>
      <c r="N81" s="147">
        <f t="shared" si="7"/>
        <v>2307.6</v>
      </c>
      <c r="O81" s="148">
        <f t="shared" si="8"/>
        <v>415.37</v>
      </c>
    </row>
    <row r="82" spans="1:15">
      <c r="A82" s="241">
        <f t="shared" ref="A82:A88" si="10">+A81+1</f>
        <v>60</v>
      </c>
      <c r="B82" s="292" t="s">
        <v>408</v>
      </c>
      <c r="C82" s="204"/>
      <c r="D82" s="204"/>
      <c r="E82" s="237"/>
      <c r="F82" s="248">
        <v>0.18</v>
      </c>
      <c r="G82" s="238"/>
      <c r="H82" s="249" t="s">
        <v>409</v>
      </c>
      <c r="I82" s="293" t="s">
        <v>359</v>
      </c>
      <c r="J82" s="293">
        <v>14</v>
      </c>
      <c r="K82" s="290">
        <v>234.15</v>
      </c>
      <c r="L82" s="147">
        <v>0.18</v>
      </c>
      <c r="M82" s="147">
        <f t="shared" si="6"/>
        <v>198.43</v>
      </c>
      <c r="N82" s="147">
        <f t="shared" si="7"/>
        <v>2778.02</v>
      </c>
      <c r="O82" s="148">
        <f t="shared" si="8"/>
        <v>500.04</v>
      </c>
    </row>
    <row r="83" spans="1:15">
      <c r="A83" s="241">
        <f t="shared" si="10"/>
        <v>61</v>
      </c>
      <c r="B83" s="292" t="s">
        <v>410</v>
      </c>
      <c r="C83" s="204"/>
      <c r="D83" s="204"/>
      <c r="E83" s="237"/>
      <c r="F83" s="248">
        <v>0.18</v>
      </c>
      <c r="G83" s="238"/>
      <c r="H83" s="249" t="s">
        <v>411</v>
      </c>
      <c r="I83" s="293" t="s">
        <v>359</v>
      </c>
      <c r="J83" s="293">
        <v>14</v>
      </c>
      <c r="K83" s="290">
        <v>150.35</v>
      </c>
      <c r="L83" s="147">
        <v>0.18</v>
      </c>
      <c r="M83" s="147">
        <f t="shared" si="6"/>
        <v>127.42</v>
      </c>
      <c r="N83" s="147">
        <f t="shared" si="7"/>
        <v>1783.88</v>
      </c>
      <c r="O83" s="148">
        <f t="shared" si="8"/>
        <v>321.10000000000002</v>
      </c>
    </row>
    <row r="84" spans="1:15">
      <c r="A84" s="241">
        <f t="shared" si="10"/>
        <v>62</v>
      </c>
      <c r="B84" s="292" t="s">
        <v>412</v>
      </c>
      <c r="C84" s="204"/>
      <c r="D84" s="204"/>
      <c r="E84" s="237"/>
      <c r="F84" s="248">
        <v>0.18</v>
      </c>
      <c r="G84" s="238"/>
      <c r="H84" s="249" t="s">
        <v>413</v>
      </c>
      <c r="I84" s="293" t="s">
        <v>359</v>
      </c>
      <c r="J84" s="293">
        <v>14</v>
      </c>
      <c r="K84" s="290">
        <v>131.85</v>
      </c>
      <c r="L84" s="147">
        <v>0.18</v>
      </c>
      <c r="M84" s="147">
        <f t="shared" si="6"/>
        <v>111.74</v>
      </c>
      <c r="N84" s="147">
        <f t="shared" si="7"/>
        <v>1564.36</v>
      </c>
      <c r="O84" s="148">
        <f t="shared" si="8"/>
        <v>281.58</v>
      </c>
    </row>
    <row r="85" spans="1:15" ht="75">
      <c r="A85" s="241">
        <f t="shared" si="10"/>
        <v>63</v>
      </c>
      <c r="B85" s="292" t="s">
        <v>414</v>
      </c>
      <c r="C85" s="204"/>
      <c r="D85" s="204"/>
      <c r="E85" s="237"/>
      <c r="F85" s="248">
        <v>0.18</v>
      </c>
      <c r="G85" s="238"/>
      <c r="H85" s="249" t="s">
        <v>415</v>
      </c>
      <c r="I85" s="293" t="s">
        <v>359</v>
      </c>
      <c r="J85" s="293">
        <v>78</v>
      </c>
      <c r="K85" s="290">
        <v>371.3</v>
      </c>
      <c r="L85" s="147">
        <v>0.18</v>
      </c>
      <c r="M85" s="147">
        <f t="shared" si="6"/>
        <v>314.66000000000003</v>
      </c>
      <c r="N85" s="147">
        <f t="shared" si="7"/>
        <v>24543.48</v>
      </c>
      <c r="O85" s="148">
        <f t="shared" si="8"/>
        <v>4417.83</v>
      </c>
    </row>
    <row r="86" spans="1:15" ht="409.5">
      <c r="A86" s="241">
        <f t="shared" si="10"/>
        <v>64</v>
      </c>
      <c r="B86" s="292" t="s">
        <v>416</v>
      </c>
      <c r="C86" s="204"/>
      <c r="D86" s="204"/>
      <c r="E86" s="237"/>
      <c r="F86" s="248">
        <v>0.18</v>
      </c>
      <c r="G86" s="238"/>
      <c r="H86" s="249" t="s">
        <v>417</v>
      </c>
      <c r="I86" s="293" t="s">
        <v>303</v>
      </c>
      <c r="J86" s="293">
        <v>281</v>
      </c>
      <c r="K86" s="290">
        <v>1529.1</v>
      </c>
      <c r="L86" s="147">
        <v>0.18</v>
      </c>
      <c r="M86" s="147">
        <f t="shared" si="6"/>
        <v>1295.8499999999999</v>
      </c>
      <c r="N86" s="147">
        <f t="shared" si="7"/>
        <v>364133.85</v>
      </c>
      <c r="O86" s="148">
        <f t="shared" si="8"/>
        <v>65544.09</v>
      </c>
    </row>
    <row r="87" spans="1:15" ht="45">
      <c r="A87" s="241">
        <f t="shared" si="10"/>
        <v>65</v>
      </c>
      <c r="B87" s="292" t="s">
        <v>418</v>
      </c>
      <c r="C87" s="204"/>
      <c r="D87" s="204"/>
      <c r="E87" s="237"/>
      <c r="F87" s="248">
        <v>0.18</v>
      </c>
      <c r="G87" s="238"/>
      <c r="H87" s="249" t="s">
        <v>419</v>
      </c>
      <c r="I87" s="295" t="s">
        <v>359</v>
      </c>
      <c r="J87" s="295">
        <v>12</v>
      </c>
      <c r="K87" s="290">
        <v>84.55</v>
      </c>
      <c r="L87" s="147">
        <v>0.18</v>
      </c>
      <c r="M87" s="147">
        <f t="shared" si="6"/>
        <v>71.650000000000006</v>
      </c>
      <c r="N87" s="147">
        <f t="shared" si="7"/>
        <v>859.8</v>
      </c>
      <c r="O87" s="148">
        <f t="shared" si="8"/>
        <v>154.76</v>
      </c>
    </row>
    <row r="88" spans="1:15" ht="190.5" customHeight="1">
      <c r="A88" s="241">
        <f t="shared" si="10"/>
        <v>66</v>
      </c>
      <c r="B88" s="292">
        <v>12.5</v>
      </c>
      <c r="C88" s="204"/>
      <c r="D88" s="204"/>
      <c r="E88" s="237"/>
      <c r="F88" s="248">
        <v>0.18</v>
      </c>
      <c r="G88" s="238"/>
      <c r="H88" s="249" t="s">
        <v>420</v>
      </c>
      <c r="I88" s="295" t="s">
        <v>306</v>
      </c>
      <c r="J88" s="295">
        <v>358</v>
      </c>
      <c r="K88" s="290">
        <v>738.65</v>
      </c>
      <c r="L88" s="147">
        <v>0.18</v>
      </c>
      <c r="M88" s="147">
        <f t="shared" si="6"/>
        <v>625.97</v>
      </c>
      <c r="N88" s="147">
        <f t="shared" si="7"/>
        <v>224097.26</v>
      </c>
      <c r="O88" s="148">
        <f t="shared" si="8"/>
        <v>40337.51</v>
      </c>
    </row>
    <row r="89" spans="1:15">
      <c r="A89" s="241"/>
      <c r="B89" s="292"/>
      <c r="C89" s="204"/>
      <c r="D89" s="204"/>
      <c r="E89" s="237"/>
      <c r="F89" s="248"/>
      <c r="G89" s="238"/>
      <c r="H89" s="306" t="s">
        <v>421</v>
      </c>
      <c r="I89" s="293"/>
      <c r="J89" s="293"/>
      <c r="K89" s="290"/>
      <c r="L89" s="147">
        <v>0.18</v>
      </c>
      <c r="M89" s="147"/>
      <c r="N89" s="147"/>
      <c r="O89" s="148"/>
    </row>
    <row r="90" spans="1:15">
      <c r="A90" s="241">
        <f>+A88+1</f>
        <v>67</v>
      </c>
      <c r="B90" s="292" t="s">
        <v>422</v>
      </c>
      <c r="C90" s="204"/>
      <c r="D90" s="204"/>
      <c r="E90" s="237"/>
      <c r="F90" s="248">
        <v>0.18</v>
      </c>
      <c r="G90" s="238"/>
      <c r="H90" s="249" t="s">
        <v>423</v>
      </c>
      <c r="I90" s="293" t="s">
        <v>306</v>
      </c>
      <c r="J90" s="293">
        <v>2274</v>
      </c>
      <c r="K90" s="290">
        <v>343.65</v>
      </c>
      <c r="L90" s="147">
        <v>0.18</v>
      </c>
      <c r="M90" s="147">
        <f t="shared" si="6"/>
        <v>291.23</v>
      </c>
      <c r="N90" s="147">
        <f t="shared" si="7"/>
        <v>662257.02</v>
      </c>
      <c r="O90" s="148">
        <f t="shared" si="8"/>
        <v>119206.26</v>
      </c>
    </row>
    <row r="91" spans="1:15" ht="30">
      <c r="A91" s="241">
        <f t="shared" ref="A91:A101" si="11">+A90+1</f>
        <v>68</v>
      </c>
      <c r="B91" s="292" t="s">
        <v>424</v>
      </c>
      <c r="C91" s="204"/>
      <c r="D91" s="204"/>
      <c r="E91" s="237"/>
      <c r="F91" s="248">
        <v>0.18</v>
      </c>
      <c r="G91" s="238"/>
      <c r="H91" s="249" t="s">
        <v>425</v>
      </c>
      <c r="I91" s="293" t="s">
        <v>306</v>
      </c>
      <c r="J91" s="293">
        <v>203</v>
      </c>
      <c r="K91" s="290">
        <v>395.35</v>
      </c>
      <c r="L91" s="147">
        <v>0.18</v>
      </c>
      <c r="M91" s="147">
        <f t="shared" si="6"/>
        <v>335.04</v>
      </c>
      <c r="N91" s="147">
        <f t="shared" si="7"/>
        <v>68013.119999999995</v>
      </c>
      <c r="O91" s="148">
        <f t="shared" si="8"/>
        <v>12242.36</v>
      </c>
    </row>
    <row r="92" spans="1:15" ht="30">
      <c r="A92" s="241">
        <f t="shared" si="11"/>
        <v>69</v>
      </c>
      <c r="B92" s="292" t="s">
        <v>426</v>
      </c>
      <c r="C92" s="204"/>
      <c r="D92" s="204"/>
      <c r="E92" s="237"/>
      <c r="F92" s="248">
        <v>0.18</v>
      </c>
      <c r="G92" s="238"/>
      <c r="H92" s="249" t="s">
        <v>427</v>
      </c>
      <c r="I92" s="293" t="s">
        <v>306</v>
      </c>
      <c r="J92" s="293">
        <v>108</v>
      </c>
      <c r="K92" s="290">
        <v>449.55</v>
      </c>
      <c r="L92" s="147">
        <v>0.18</v>
      </c>
      <c r="M92" s="147">
        <f t="shared" si="6"/>
        <v>380.97</v>
      </c>
      <c r="N92" s="147">
        <f t="shared" si="7"/>
        <v>41144.76</v>
      </c>
      <c r="O92" s="148">
        <f t="shared" si="8"/>
        <v>7406.06</v>
      </c>
    </row>
    <row r="93" spans="1:15" ht="45">
      <c r="A93" s="241">
        <f t="shared" si="11"/>
        <v>70</v>
      </c>
      <c r="B93" s="292" t="s">
        <v>428</v>
      </c>
      <c r="C93" s="204"/>
      <c r="D93" s="204"/>
      <c r="E93" s="237"/>
      <c r="F93" s="248">
        <v>0.18</v>
      </c>
      <c r="G93" s="238"/>
      <c r="H93" s="249" t="s">
        <v>429</v>
      </c>
      <c r="I93" s="293" t="s">
        <v>306</v>
      </c>
      <c r="J93" s="293">
        <v>1049</v>
      </c>
      <c r="K93" s="290">
        <v>518.54999999999995</v>
      </c>
      <c r="L93" s="147">
        <v>0.18</v>
      </c>
      <c r="M93" s="147">
        <f t="shared" si="6"/>
        <v>439.45</v>
      </c>
      <c r="N93" s="147">
        <f t="shared" si="7"/>
        <v>460983.05</v>
      </c>
      <c r="O93" s="148">
        <f t="shared" si="8"/>
        <v>82976.95</v>
      </c>
    </row>
    <row r="94" spans="1:15" ht="30">
      <c r="A94" s="241">
        <f t="shared" si="11"/>
        <v>71</v>
      </c>
      <c r="B94" s="292" t="s">
        <v>430</v>
      </c>
      <c r="C94" s="204"/>
      <c r="D94" s="204"/>
      <c r="E94" s="237"/>
      <c r="F94" s="248">
        <v>0.18</v>
      </c>
      <c r="G94" s="238"/>
      <c r="H94" s="249" t="s">
        <v>431</v>
      </c>
      <c r="I94" s="293" t="s">
        <v>306</v>
      </c>
      <c r="J94" s="293">
        <v>755</v>
      </c>
      <c r="K94" s="290">
        <v>300.45</v>
      </c>
      <c r="L94" s="147">
        <v>0.18</v>
      </c>
      <c r="M94" s="147">
        <f t="shared" si="6"/>
        <v>254.62</v>
      </c>
      <c r="N94" s="147">
        <f t="shared" si="7"/>
        <v>192238.1</v>
      </c>
      <c r="O94" s="148">
        <f t="shared" si="8"/>
        <v>34602.86</v>
      </c>
    </row>
    <row r="95" spans="1:15" ht="45">
      <c r="A95" s="241">
        <f t="shared" si="11"/>
        <v>72</v>
      </c>
      <c r="B95" s="292" t="s">
        <v>432</v>
      </c>
      <c r="C95" s="204"/>
      <c r="D95" s="204"/>
      <c r="E95" s="237"/>
      <c r="F95" s="248">
        <v>0.18</v>
      </c>
      <c r="G95" s="238"/>
      <c r="H95" s="249" t="s">
        <v>433</v>
      </c>
      <c r="I95" s="295" t="s">
        <v>434</v>
      </c>
      <c r="J95" s="293">
        <v>132</v>
      </c>
      <c r="K95" s="290">
        <v>22.1</v>
      </c>
      <c r="L95" s="147">
        <v>0.18</v>
      </c>
      <c r="M95" s="147">
        <f t="shared" si="6"/>
        <v>18.73</v>
      </c>
      <c r="N95" s="147">
        <f t="shared" si="7"/>
        <v>2472.36</v>
      </c>
      <c r="O95" s="148">
        <f t="shared" si="8"/>
        <v>445.02</v>
      </c>
    </row>
    <row r="96" spans="1:15" ht="60">
      <c r="A96" s="241">
        <f t="shared" si="11"/>
        <v>73</v>
      </c>
      <c r="B96" s="292" t="s">
        <v>435</v>
      </c>
      <c r="C96" s="204"/>
      <c r="D96" s="204"/>
      <c r="E96" s="237"/>
      <c r="F96" s="248">
        <v>0.18</v>
      </c>
      <c r="G96" s="238"/>
      <c r="H96" s="249" t="s">
        <v>436</v>
      </c>
      <c r="I96" s="293" t="s">
        <v>306</v>
      </c>
      <c r="J96" s="293">
        <v>1127</v>
      </c>
      <c r="K96" s="290">
        <v>171.1</v>
      </c>
      <c r="L96" s="147">
        <v>0.18</v>
      </c>
      <c r="M96" s="147">
        <f t="shared" si="6"/>
        <v>145</v>
      </c>
      <c r="N96" s="147">
        <f t="shared" si="7"/>
        <v>163415</v>
      </c>
      <c r="O96" s="148">
        <f t="shared" si="8"/>
        <v>29414.7</v>
      </c>
    </row>
    <row r="97" spans="1:15" ht="63">
      <c r="A97" s="241">
        <f t="shared" si="11"/>
        <v>74</v>
      </c>
      <c r="B97" s="320" t="s">
        <v>437</v>
      </c>
      <c r="C97" s="204"/>
      <c r="D97" s="204"/>
      <c r="E97" s="237"/>
      <c r="F97" s="248">
        <v>0.18</v>
      </c>
      <c r="G97" s="238"/>
      <c r="H97" s="319" t="s">
        <v>438</v>
      </c>
      <c r="I97" s="293" t="s">
        <v>306</v>
      </c>
      <c r="J97" s="293">
        <v>343</v>
      </c>
      <c r="K97" s="290">
        <v>241.75</v>
      </c>
      <c r="L97" s="147">
        <v>0.18</v>
      </c>
      <c r="M97" s="147">
        <f t="shared" si="6"/>
        <v>204.87</v>
      </c>
      <c r="N97" s="147">
        <f t="shared" si="7"/>
        <v>70270.41</v>
      </c>
      <c r="O97" s="148">
        <f t="shared" si="8"/>
        <v>12648.67</v>
      </c>
    </row>
    <row r="98" spans="1:15" ht="30">
      <c r="A98" s="241">
        <f>+A97+1</f>
        <v>75</v>
      </c>
      <c r="B98" s="292" t="s">
        <v>439</v>
      </c>
      <c r="C98" s="204"/>
      <c r="D98" s="204"/>
      <c r="E98" s="237"/>
      <c r="F98" s="248">
        <v>0.18</v>
      </c>
      <c r="G98" s="238"/>
      <c r="H98" s="289" t="s">
        <v>440</v>
      </c>
      <c r="I98" s="293" t="s">
        <v>306</v>
      </c>
      <c r="J98" s="293">
        <v>30</v>
      </c>
      <c r="K98" s="290">
        <v>155.9</v>
      </c>
      <c r="L98" s="147">
        <v>0.18</v>
      </c>
      <c r="M98" s="147">
        <f t="shared" si="6"/>
        <v>132.12</v>
      </c>
      <c r="N98" s="147">
        <f t="shared" si="7"/>
        <v>3963.6</v>
      </c>
      <c r="O98" s="148">
        <f t="shared" si="8"/>
        <v>713.45</v>
      </c>
    </row>
    <row r="99" spans="1:15" ht="45">
      <c r="A99" s="241">
        <f t="shared" si="11"/>
        <v>76</v>
      </c>
      <c r="B99" s="292" t="s">
        <v>441</v>
      </c>
      <c r="C99" s="204"/>
      <c r="D99" s="204"/>
      <c r="E99" s="237"/>
      <c r="F99" s="248">
        <v>0.18</v>
      </c>
      <c r="G99" s="238"/>
      <c r="H99" s="289" t="s">
        <v>442</v>
      </c>
      <c r="I99" s="293" t="s">
        <v>306</v>
      </c>
      <c r="J99" s="293">
        <v>3153</v>
      </c>
      <c r="K99" s="290">
        <v>156.05000000000001</v>
      </c>
      <c r="L99" s="147">
        <v>0.18</v>
      </c>
      <c r="M99" s="147">
        <f t="shared" si="6"/>
        <v>132.25</v>
      </c>
      <c r="N99" s="147">
        <f t="shared" si="7"/>
        <v>416984.25</v>
      </c>
      <c r="O99" s="148">
        <f t="shared" si="8"/>
        <v>75057.17</v>
      </c>
    </row>
    <row r="100" spans="1:15" ht="75">
      <c r="A100" s="241">
        <f t="shared" si="11"/>
        <v>77</v>
      </c>
      <c r="B100" s="292" t="s">
        <v>443</v>
      </c>
      <c r="C100" s="204"/>
      <c r="D100" s="204"/>
      <c r="E100" s="237"/>
      <c r="F100" s="248">
        <v>0.18</v>
      </c>
      <c r="G100" s="238"/>
      <c r="H100" s="289" t="s">
        <v>444</v>
      </c>
      <c r="I100" s="293" t="s">
        <v>306</v>
      </c>
      <c r="J100" s="293">
        <v>3153</v>
      </c>
      <c r="K100" s="290">
        <v>142.80000000000001</v>
      </c>
      <c r="L100" s="147">
        <v>0.18</v>
      </c>
      <c r="M100" s="147">
        <f t="shared" si="6"/>
        <v>121.02</v>
      </c>
      <c r="N100" s="147">
        <f t="shared" si="7"/>
        <v>381576.06</v>
      </c>
      <c r="O100" s="148">
        <f t="shared" si="8"/>
        <v>68683.69</v>
      </c>
    </row>
    <row r="101" spans="1:15" ht="60">
      <c r="A101" s="241">
        <f t="shared" si="11"/>
        <v>78</v>
      </c>
      <c r="B101" s="292" t="s">
        <v>445</v>
      </c>
      <c r="C101" s="204"/>
      <c r="D101" s="204"/>
      <c r="E101" s="237"/>
      <c r="F101" s="248">
        <v>0.18</v>
      </c>
      <c r="G101" s="238"/>
      <c r="H101" s="289" t="s">
        <v>446</v>
      </c>
      <c r="I101" s="293" t="s">
        <v>306</v>
      </c>
      <c r="J101" s="293">
        <v>3153</v>
      </c>
      <c r="K101" s="290">
        <v>73.95</v>
      </c>
      <c r="L101" s="147">
        <v>0.18</v>
      </c>
      <c r="M101" s="147">
        <f t="shared" si="6"/>
        <v>62.67</v>
      </c>
      <c r="N101" s="147">
        <f t="shared" si="7"/>
        <v>197598.51</v>
      </c>
      <c r="O101" s="148">
        <f t="shared" si="8"/>
        <v>35567.730000000003</v>
      </c>
    </row>
    <row r="102" spans="1:15">
      <c r="A102" s="241"/>
      <c r="B102" s="292"/>
      <c r="C102" s="204"/>
      <c r="D102" s="204"/>
      <c r="E102" s="237"/>
      <c r="F102" s="248"/>
      <c r="G102" s="238"/>
      <c r="H102" s="288" t="s">
        <v>447</v>
      </c>
      <c r="I102" s="293"/>
      <c r="J102" s="293"/>
      <c r="K102" s="290"/>
      <c r="L102" s="147">
        <v>0.18</v>
      </c>
      <c r="M102" s="147"/>
      <c r="N102" s="147"/>
      <c r="O102" s="148"/>
    </row>
    <row r="103" spans="1:15" ht="60">
      <c r="A103" s="241">
        <f>+A101+1</f>
        <v>79</v>
      </c>
      <c r="B103" s="292" t="s">
        <v>448</v>
      </c>
      <c r="C103" s="204"/>
      <c r="D103" s="204"/>
      <c r="E103" s="237"/>
      <c r="F103" s="248">
        <v>0.18</v>
      </c>
      <c r="G103" s="238"/>
      <c r="H103" s="289" t="s">
        <v>449</v>
      </c>
      <c r="I103" s="293" t="s">
        <v>359</v>
      </c>
      <c r="J103" s="293">
        <v>2</v>
      </c>
      <c r="K103" s="290">
        <v>2093</v>
      </c>
      <c r="L103" s="147">
        <v>0.18</v>
      </c>
      <c r="M103" s="147">
        <f t="shared" si="6"/>
        <v>1773.73</v>
      </c>
      <c r="N103" s="147">
        <f t="shared" si="7"/>
        <v>3547.46</v>
      </c>
      <c r="O103" s="148">
        <f t="shared" si="8"/>
        <v>638.54</v>
      </c>
    </row>
    <row r="104" spans="1:15">
      <c r="A104" s="241"/>
      <c r="B104" s="292"/>
      <c r="C104" s="204"/>
      <c r="D104" s="204"/>
      <c r="E104" s="237"/>
      <c r="F104" s="248"/>
      <c r="G104" s="238"/>
      <c r="H104" s="288" t="s">
        <v>450</v>
      </c>
      <c r="I104" s="293"/>
      <c r="J104" s="293"/>
      <c r="K104" s="290"/>
      <c r="L104" s="147">
        <v>0.18</v>
      </c>
      <c r="M104" s="147"/>
      <c r="N104" s="147"/>
      <c r="O104" s="148"/>
    </row>
    <row r="105" spans="1:15" ht="99" customHeight="1">
      <c r="A105" s="241">
        <f>+A103+1</f>
        <v>80</v>
      </c>
      <c r="B105" s="292" t="s">
        <v>451</v>
      </c>
      <c r="C105" s="204"/>
      <c r="D105" s="204"/>
      <c r="E105" s="237"/>
      <c r="F105" s="248">
        <v>0.18</v>
      </c>
      <c r="G105" s="238"/>
      <c r="H105" s="289" t="s">
        <v>452</v>
      </c>
      <c r="I105" s="293"/>
      <c r="J105" s="293"/>
      <c r="K105" s="290"/>
      <c r="L105" s="147">
        <v>0.18</v>
      </c>
      <c r="M105" s="147"/>
      <c r="N105" s="147"/>
      <c r="O105" s="148"/>
    </row>
    <row r="106" spans="1:15">
      <c r="A106" s="241">
        <f>+A105+1</f>
        <v>81</v>
      </c>
      <c r="B106" s="292" t="s">
        <v>453</v>
      </c>
      <c r="C106" s="204"/>
      <c r="D106" s="204"/>
      <c r="E106" s="237"/>
      <c r="F106" s="248">
        <v>0.18</v>
      </c>
      <c r="G106" s="238"/>
      <c r="H106" s="289" t="s">
        <v>454</v>
      </c>
      <c r="I106" s="293" t="s">
        <v>284</v>
      </c>
      <c r="J106" s="293">
        <v>5</v>
      </c>
      <c r="K106" s="290">
        <v>401.55</v>
      </c>
      <c r="L106" s="147">
        <v>0.18</v>
      </c>
      <c r="M106" s="147">
        <f t="shared" si="6"/>
        <v>340.3</v>
      </c>
      <c r="N106" s="147">
        <f t="shared" si="7"/>
        <v>1701.5</v>
      </c>
      <c r="O106" s="148">
        <f t="shared" si="8"/>
        <v>306.27</v>
      </c>
    </row>
    <row r="107" spans="1:15" ht="118.5" customHeight="1">
      <c r="A107" s="241"/>
      <c r="B107" s="292" t="s">
        <v>455</v>
      </c>
      <c r="C107" s="204"/>
      <c r="D107" s="204"/>
      <c r="E107" s="237"/>
      <c r="F107" s="248">
        <v>0.18</v>
      </c>
      <c r="G107" s="238"/>
      <c r="H107" s="289" t="s">
        <v>456</v>
      </c>
      <c r="I107" s="293"/>
      <c r="J107" s="293"/>
      <c r="K107" s="290"/>
      <c r="L107" s="147">
        <v>0.18</v>
      </c>
      <c r="M107" s="147"/>
      <c r="N107" s="147"/>
      <c r="O107" s="148"/>
    </row>
    <row r="108" spans="1:15">
      <c r="A108" s="241">
        <f>+A106+1</f>
        <v>82</v>
      </c>
      <c r="B108" s="292" t="s">
        <v>457</v>
      </c>
      <c r="C108" s="204"/>
      <c r="D108" s="204"/>
      <c r="E108" s="237"/>
      <c r="F108" s="248">
        <v>0.18</v>
      </c>
      <c r="G108" s="238"/>
      <c r="H108" s="289" t="s">
        <v>458</v>
      </c>
      <c r="I108" s="293" t="s">
        <v>284</v>
      </c>
      <c r="J108" s="293">
        <v>6</v>
      </c>
      <c r="K108" s="290">
        <v>497.8</v>
      </c>
      <c r="L108" s="147">
        <v>0.18</v>
      </c>
      <c r="M108" s="147">
        <f t="shared" si="6"/>
        <v>421.86</v>
      </c>
      <c r="N108" s="147">
        <f t="shared" si="7"/>
        <v>2531.16</v>
      </c>
      <c r="O108" s="148">
        <f t="shared" si="8"/>
        <v>455.61</v>
      </c>
    </row>
    <row r="109" spans="1:15">
      <c r="A109" s="241">
        <f>+A108+1</f>
        <v>83</v>
      </c>
      <c r="B109" s="292" t="s">
        <v>459</v>
      </c>
      <c r="C109" s="204"/>
      <c r="D109" s="204"/>
      <c r="E109" s="237"/>
      <c r="F109" s="248">
        <v>0.18</v>
      </c>
      <c r="G109" s="238"/>
      <c r="H109" s="289" t="s">
        <v>460</v>
      </c>
      <c r="I109" s="293" t="s">
        <v>284</v>
      </c>
      <c r="J109" s="293">
        <v>30</v>
      </c>
      <c r="K109" s="290">
        <v>537.6</v>
      </c>
      <c r="L109" s="147">
        <v>0.18</v>
      </c>
      <c r="M109" s="147">
        <f t="shared" si="6"/>
        <v>455.59</v>
      </c>
      <c r="N109" s="147">
        <f t="shared" si="7"/>
        <v>13667.7</v>
      </c>
      <c r="O109" s="148">
        <f t="shared" si="8"/>
        <v>2460.19</v>
      </c>
    </row>
    <row r="110" spans="1:15">
      <c r="A110" s="241">
        <f>+A109+1</f>
        <v>84</v>
      </c>
      <c r="B110" s="292" t="s">
        <v>461</v>
      </c>
      <c r="C110" s="204"/>
      <c r="D110" s="204"/>
      <c r="E110" s="237"/>
      <c r="F110" s="248">
        <v>0.18</v>
      </c>
      <c r="G110" s="238"/>
      <c r="H110" s="289" t="s">
        <v>462</v>
      </c>
      <c r="I110" s="293" t="s">
        <v>284</v>
      </c>
      <c r="J110" s="293">
        <v>30</v>
      </c>
      <c r="K110" s="290">
        <v>627.25</v>
      </c>
      <c r="L110" s="147">
        <v>0.18</v>
      </c>
      <c r="M110" s="147">
        <f t="shared" si="6"/>
        <v>531.57000000000005</v>
      </c>
      <c r="N110" s="147">
        <f t="shared" si="7"/>
        <v>15947.1</v>
      </c>
      <c r="O110" s="148">
        <f t="shared" si="8"/>
        <v>2870.48</v>
      </c>
    </row>
    <row r="111" spans="1:15">
      <c r="A111" s="241">
        <f>+A110+1</f>
        <v>85</v>
      </c>
      <c r="B111" s="292" t="s">
        <v>463</v>
      </c>
      <c r="C111" s="204"/>
      <c r="D111" s="204"/>
      <c r="E111" s="237"/>
      <c r="F111" s="248">
        <v>0.18</v>
      </c>
      <c r="G111" s="238"/>
      <c r="H111" s="289" t="s">
        <v>464</v>
      </c>
      <c r="I111" s="293" t="s">
        <v>284</v>
      </c>
      <c r="J111" s="293">
        <v>18</v>
      </c>
      <c r="K111" s="290">
        <v>739.3</v>
      </c>
      <c r="L111" s="147">
        <v>0.18</v>
      </c>
      <c r="M111" s="147">
        <f t="shared" si="6"/>
        <v>626.53</v>
      </c>
      <c r="N111" s="147">
        <f t="shared" si="7"/>
        <v>11277.54</v>
      </c>
      <c r="O111" s="148">
        <f t="shared" si="8"/>
        <v>2029.96</v>
      </c>
    </row>
    <row r="112" spans="1:15" ht="105">
      <c r="A112" s="241"/>
      <c r="B112" s="292" t="s">
        <v>465</v>
      </c>
      <c r="C112" s="204"/>
      <c r="D112" s="204"/>
      <c r="E112" s="237"/>
      <c r="F112" s="248">
        <v>0.18</v>
      </c>
      <c r="G112" s="238"/>
      <c r="H112" s="289" t="s">
        <v>466</v>
      </c>
      <c r="I112" s="293"/>
      <c r="J112" s="293"/>
      <c r="K112" s="290"/>
      <c r="L112" s="147">
        <v>0.18</v>
      </c>
      <c r="M112" s="147"/>
      <c r="N112" s="147"/>
      <c r="O112" s="148"/>
    </row>
    <row r="113" spans="1:15" ht="30">
      <c r="A113" s="241">
        <f>+A111+1</f>
        <v>86</v>
      </c>
      <c r="B113" s="292" t="s">
        <v>467</v>
      </c>
      <c r="C113" s="204"/>
      <c r="D113" s="204"/>
      <c r="E113" s="237"/>
      <c r="F113" s="248">
        <v>0.18</v>
      </c>
      <c r="G113" s="238"/>
      <c r="H113" s="289" t="s">
        <v>468</v>
      </c>
      <c r="I113" s="293" t="s">
        <v>284</v>
      </c>
      <c r="J113" s="293">
        <v>10</v>
      </c>
      <c r="K113" s="290">
        <v>355.4</v>
      </c>
      <c r="L113" s="147">
        <v>0.18</v>
      </c>
      <c r="M113" s="147">
        <f t="shared" si="6"/>
        <v>301.19</v>
      </c>
      <c r="N113" s="147">
        <f t="shared" si="7"/>
        <v>3011.9</v>
      </c>
      <c r="O113" s="148">
        <f t="shared" si="8"/>
        <v>542.14</v>
      </c>
    </row>
    <row r="114" spans="1:15">
      <c r="A114" s="241">
        <f>+A113+1</f>
        <v>87</v>
      </c>
      <c r="B114" s="292" t="s">
        <v>469</v>
      </c>
      <c r="C114" s="204"/>
      <c r="D114" s="204"/>
      <c r="E114" s="237"/>
      <c r="F114" s="248">
        <v>0.18</v>
      </c>
      <c r="G114" s="238"/>
      <c r="H114" s="289" t="s">
        <v>470</v>
      </c>
      <c r="I114" s="293" t="s">
        <v>284</v>
      </c>
      <c r="J114" s="293">
        <v>10</v>
      </c>
      <c r="K114" s="290">
        <v>438.6</v>
      </c>
      <c r="L114" s="147">
        <v>0.18</v>
      </c>
      <c r="M114" s="147">
        <f t="shared" si="6"/>
        <v>371.69</v>
      </c>
      <c r="N114" s="147">
        <f t="shared" si="7"/>
        <v>3716.9</v>
      </c>
      <c r="O114" s="148">
        <f t="shared" si="8"/>
        <v>669.04</v>
      </c>
    </row>
    <row r="115" spans="1:15">
      <c r="A115" s="241">
        <f>+A114+1</f>
        <v>88</v>
      </c>
      <c r="B115" s="292" t="s">
        <v>471</v>
      </c>
      <c r="C115" s="204"/>
      <c r="D115" s="204"/>
      <c r="E115" s="237"/>
      <c r="F115" s="248">
        <v>0.18</v>
      </c>
      <c r="G115" s="238"/>
      <c r="H115" s="289" t="s">
        <v>472</v>
      </c>
      <c r="I115" s="293" t="s">
        <v>284</v>
      </c>
      <c r="J115" s="293">
        <v>10</v>
      </c>
      <c r="K115" s="290">
        <v>563.04999999999995</v>
      </c>
      <c r="L115" s="147">
        <v>0.18</v>
      </c>
      <c r="M115" s="147">
        <f t="shared" si="6"/>
        <v>477.16</v>
      </c>
      <c r="N115" s="147">
        <f t="shared" si="7"/>
        <v>4771.6000000000004</v>
      </c>
      <c r="O115" s="148">
        <f t="shared" si="8"/>
        <v>858.89</v>
      </c>
    </row>
    <row r="116" spans="1:15" ht="30">
      <c r="A116" s="241">
        <f>+A115+1</f>
        <v>89</v>
      </c>
      <c r="B116" s="292" t="s">
        <v>473</v>
      </c>
      <c r="C116" s="204"/>
      <c r="D116" s="204"/>
      <c r="E116" s="237"/>
      <c r="F116" s="248">
        <v>0.18</v>
      </c>
      <c r="G116" s="238"/>
      <c r="H116" s="289" t="s">
        <v>474</v>
      </c>
      <c r="I116" s="293" t="s">
        <v>284</v>
      </c>
      <c r="J116" s="293">
        <v>20</v>
      </c>
      <c r="K116" s="290">
        <v>794.25</v>
      </c>
      <c r="L116" s="147">
        <v>0.18</v>
      </c>
      <c r="M116" s="147">
        <f t="shared" ref="M116:M135" si="12">ROUND(K116/(1+L116),2)</f>
        <v>673.09</v>
      </c>
      <c r="N116" s="147">
        <f>ROUND(M116*J116,2)</f>
        <v>13461.8</v>
      </c>
      <c r="O116" s="148">
        <f t="shared" ref="O116:O136" si="13">ROUND(N116*18%,2)</f>
        <v>2423.12</v>
      </c>
    </row>
    <row r="117" spans="1:15" ht="60">
      <c r="A117" s="241">
        <f>+A116+1</f>
        <v>90</v>
      </c>
      <c r="B117" s="292" t="s">
        <v>475</v>
      </c>
      <c r="C117" s="204"/>
      <c r="D117" s="204"/>
      <c r="E117" s="237"/>
      <c r="F117" s="248">
        <v>0.18</v>
      </c>
      <c r="G117" s="238"/>
      <c r="H117" s="289" t="s">
        <v>476</v>
      </c>
      <c r="I117" s="293" t="s">
        <v>295</v>
      </c>
      <c r="J117" s="293">
        <v>2000</v>
      </c>
      <c r="K117" s="290">
        <v>11</v>
      </c>
      <c r="L117" s="147">
        <v>0.18</v>
      </c>
      <c r="M117" s="147">
        <f t="shared" si="12"/>
        <v>9.32</v>
      </c>
      <c r="N117" s="147">
        <f>ROUND(M117*J117,2)</f>
        <v>18640</v>
      </c>
      <c r="O117" s="148">
        <f t="shared" si="13"/>
        <v>3355.2</v>
      </c>
    </row>
    <row r="118" spans="1:15" ht="30">
      <c r="A118" s="241">
        <f>+A117+1</f>
        <v>91</v>
      </c>
      <c r="B118" s="292" t="s">
        <v>477</v>
      </c>
      <c r="C118" s="204"/>
      <c r="D118" s="204"/>
      <c r="E118" s="237"/>
      <c r="F118" s="248">
        <v>0.18</v>
      </c>
      <c r="G118" s="238"/>
      <c r="H118" s="289" t="s">
        <v>478</v>
      </c>
      <c r="I118" s="293" t="s">
        <v>359</v>
      </c>
      <c r="J118" s="293">
        <v>30</v>
      </c>
      <c r="K118" s="290">
        <v>74.8</v>
      </c>
      <c r="L118" s="147">
        <v>0.18</v>
      </c>
      <c r="M118" s="147">
        <f t="shared" si="12"/>
        <v>63.39</v>
      </c>
      <c r="N118" s="147">
        <f>ROUND(M118*J118,2)</f>
        <v>1901.7</v>
      </c>
      <c r="O118" s="148">
        <f t="shared" si="13"/>
        <v>342.31</v>
      </c>
    </row>
    <row r="119" spans="1:15">
      <c r="A119" s="241"/>
      <c r="B119" s="292"/>
      <c r="C119" s="204"/>
      <c r="D119" s="204"/>
      <c r="E119" s="237"/>
      <c r="F119" s="248"/>
      <c r="G119" s="238"/>
      <c r="H119" s="288" t="s">
        <v>479</v>
      </c>
      <c r="I119" s="293"/>
      <c r="J119" s="293"/>
      <c r="K119" s="290"/>
      <c r="L119" s="147">
        <v>0.18</v>
      </c>
      <c r="M119" s="147"/>
      <c r="N119" s="147"/>
      <c r="O119" s="148"/>
    </row>
    <row r="120" spans="1:15" ht="90">
      <c r="A120" s="241">
        <f>+A118+1</f>
        <v>92</v>
      </c>
      <c r="B120" s="292" t="s">
        <v>480</v>
      </c>
      <c r="C120" s="204"/>
      <c r="D120" s="204"/>
      <c r="E120" s="237"/>
      <c r="F120" s="248">
        <v>0.18</v>
      </c>
      <c r="G120" s="238"/>
      <c r="H120" s="289" t="s">
        <v>481</v>
      </c>
      <c r="I120" s="293" t="s">
        <v>359</v>
      </c>
      <c r="J120" s="293">
        <v>12</v>
      </c>
      <c r="K120" s="290">
        <v>2707.65</v>
      </c>
      <c r="L120" s="147">
        <v>0.18</v>
      </c>
      <c r="M120" s="147">
        <f t="shared" si="12"/>
        <v>2294.62</v>
      </c>
      <c r="N120" s="147">
        <f>ROUND(M120*J120,2)</f>
        <v>27535.439999999999</v>
      </c>
      <c r="O120" s="148">
        <f t="shared" si="13"/>
        <v>4956.38</v>
      </c>
    </row>
    <row r="121" spans="1:15" ht="45">
      <c r="A121" s="241">
        <f>+A120+1</f>
        <v>93</v>
      </c>
      <c r="B121" s="292" t="s">
        <v>482</v>
      </c>
      <c r="C121" s="204"/>
      <c r="D121" s="204"/>
      <c r="E121" s="237"/>
      <c r="F121" s="248">
        <v>0.18</v>
      </c>
      <c r="G121" s="238"/>
      <c r="H121" s="289" t="s">
        <v>483</v>
      </c>
      <c r="I121" s="293"/>
      <c r="J121" s="293"/>
      <c r="K121" s="290"/>
      <c r="L121" s="147">
        <v>0.18</v>
      </c>
      <c r="M121" s="147"/>
      <c r="N121" s="147"/>
      <c r="O121" s="148"/>
    </row>
    <row r="122" spans="1:15">
      <c r="A122" s="241">
        <f>+A120+1</f>
        <v>93</v>
      </c>
      <c r="B122" s="292" t="s">
        <v>484</v>
      </c>
      <c r="C122" s="204"/>
      <c r="D122" s="204"/>
      <c r="E122" s="237"/>
      <c r="F122" s="248">
        <v>0.18</v>
      </c>
      <c r="G122" s="238"/>
      <c r="H122" s="319" t="s">
        <v>485</v>
      </c>
      <c r="I122" s="293" t="s">
        <v>284</v>
      </c>
      <c r="J122" s="293">
        <v>8</v>
      </c>
      <c r="K122" s="290">
        <v>899.8</v>
      </c>
      <c r="L122" s="147">
        <v>0.18</v>
      </c>
      <c r="M122" s="147">
        <f t="shared" si="12"/>
        <v>762.54</v>
      </c>
      <c r="N122" s="147">
        <f>ROUND(M122*J122,2)</f>
        <v>6100.32</v>
      </c>
      <c r="O122" s="148">
        <f>ROUND(N122*18%,2)</f>
        <v>1098.06</v>
      </c>
    </row>
    <row r="123" spans="1:15">
      <c r="A123" s="241">
        <f>+A120+1</f>
        <v>93</v>
      </c>
      <c r="B123" s="292" t="s">
        <v>486</v>
      </c>
      <c r="C123" s="204"/>
      <c r="D123" s="204"/>
      <c r="E123" s="237"/>
      <c r="F123" s="248">
        <v>0.18</v>
      </c>
      <c r="G123" s="238"/>
      <c r="H123" s="289" t="s">
        <v>487</v>
      </c>
      <c r="I123" s="293" t="s">
        <v>284</v>
      </c>
      <c r="J123" s="293">
        <v>10</v>
      </c>
      <c r="K123" s="290">
        <v>994.3</v>
      </c>
      <c r="L123" s="147">
        <v>0.18</v>
      </c>
      <c r="M123" s="147">
        <f t="shared" si="12"/>
        <v>842.63</v>
      </c>
      <c r="N123" s="147">
        <f>ROUND(M123*J123,2)</f>
        <v>8426.2999999999993</v>
      </c>
      <c r="O123" s="148">
        <f t="shared" si="13"/>
        <v>1516.73</v>
      </c>
    </row>
    <row r="124" spans="1:15">
      <c r="A124" s="241">
        <f>+A123+1</f>
        <v>94</v>
      </c>
      <c r="B124" s="292" t="s">
        <v>488</v>
      </c>
      <c r="C124" s="204"/>
      <c r="D124" s="204"/>
      <c r="E124" s="237"/>
      <c r="F124" s="248">
        <v>0.18</v>
      </c>
      <c r="G124" s="238"/>
      <c r="H124" s="289" t="s">
        <v>489</v>
      </c>
      <c r="I124" s="293" t="s">
        <v>284</v>
      </c>
      <c r="J124" s="293">
        <v>10</v>
      </c>
      <c r="K124" s="290">
        <v>1620.95</v>
      </c>
      <c r="L124" s="147">
        <v>0.18</v>
      </c>
      <c r="M124" s="147">
        <f t="shared" si="12"/>
        <v>1373.69</v>
      </c>
      <c r="N124" s="147">
        <f>ROUND(M124*J124,2)</f>
        <v>13736.9</v>
      </c>
      <c r="O124" s="148">
        <f t="shared" si="13"/>
        <v>2472.64</v>
      </c>
    </row>
    <row r="125" spans="1:15" ht="210">
      <c r="A125" s="241">
        <f>+A124+1</f>
        <v>95</v>
      </c>
      <c r="B125" s="292" t="s">
        <v>490</v>
      </c>
      <c r="C125" s="204"/>
      <c r="D125" s="204"/>
      <c r="E125" s="237"/>
      <c r="F125" s="248">
        <v>0.18</v>
      </c>
      <c r="G125" s="238"/>
      <c r="H125" s="300" t="s">
        <v>491</v>
      </c>
      <c r="I125" s="293" t="s">
        <v>359</v>
      </c>
      <c r="J125" s="293">
        <v>4</v>
      </c>
      <c r="K125" s="290">
        <v>12770.55</v>
      </c>
      <c r="L125" s="147">
        <v>0.18</v>
      </c>
      <c r="M125" s="147">
        <f t="shared" si="12"/>
        <v>10822.5</v>
      </c>
      <c r="N125" s="147">
        <f>ROUND(M125*J125,2)</f>
        <v>43290</v>
      </c>
      <c r="O125" s="148">
        <f t="shared" si="13"/>
        <v>7792.2</v>
      </c>
    </row>
    <row r="126" spans="1:15">
      <c r="A126" s="241"/>
      <c r="B126" s="292"/>
      <c r="C126" s="204"/>
      <c r="D126" s="204"/>
      <c r="E126" s="237"/>
      <c r="F126" s="248"/>
      <c r="G126" s="238"/>
      <c r="H126" s="288" t="s">
        <v>492</v>
      </c>
      <c r="I126" s="293"/>
      <c r="J126" s="293"/>
      <c r="K126" s="290"/>
      <c r="L126" s="147"/>
      <c r="M126" s="147"/>
      <c r="N126" s="147"/>
      <c r="O126" s="148"/>
    </row>
    <row r="127" spans="1:15" ht="195">
      <c r="A127" s="241">
        <f>+A125+1</f>
        <v>96</v>
      </c>
      <c r="B127" s="292" t="s">
        <v>493</v>
      </c>
      <c r="C127" s="204"/>
      <c r="D127" s="204"/>
      <c r="E127" s="237"/>
      <c r="F127" s="248">
        <v>0.18</v>
      </c>
      <c r="G127" s="238"/>
      <c r="H127" s="300" t="s">
        <v>494</v>
      </c>
      <c r="I127" s="293" t="s">
        <v>495</v>
      </c>
      <c r="J127" s="293">
        <v>1067</v>
      </c>
      <c r="K127" s="290">
        <v>530.9</v>
      </c>
      <c r="L127" s="147">
        <v>0.18</v>
      </c>
      <c r="M127" s="147">
        <f t="shared" ref="M127:M132" si="14">ROUND(K127/(1+L127),2)</f>
        <v>449.92</v>
      </c>
      <c r="N127" s="147">
        <f t="shared" ref="N127:N132" si="15">ROUND(M127*J127,2)</f>
        <v>480064.64</v>
      </c>
      <c r="O127" s="148">
        <f t="shared" ref="O127:O132" si="16">ROUND(N127*18%,2)</f>
        <v>86411.64</v>
      </c>
    </row>
    <row r="128" spans="1:15" ht="236.25">
      <c r="A128" s="241">
        <f>+A127+1</f>
        <v>97</v>
      </c>
      <c r="B128" s="292" t="s">
        <v>496</v>
      </c>
      <c r="C128" s="204"/>
      <c r="D128" s="204"/>
      <c r="E128" s="237"/>
      <c r="F128" s="248">
        <v>0.18</v>
      </c>
      <c r="G128" s="238"/>
      <c r="H128" s="319" t="s">
        <v>497</v>
      </c>
      <c r="I128" s="293" t="s">
        <v>495</v>
      </c>
      <c r="J128" s="293">
        <v>424</v>
      </c>
      <c r="K128" s="290">
        <v>634.45000000000005</v>
      </c>
      <c r="L128" s="147">
        <v>0.18</v>
      </c>
      <c r="M128" s="147">
        <f t="shared" si="14"/>
        <v>537.66999999999996</v>
      </c>
      <c r="N128" s="147">
        <f t="shared" si="15"/>
        <v>227972.08</v>
      </c>
      <c r="O128" s="148">
        <f t="shared" si="16"/>
        <v>41034.97</v>
      </c>
    </row>
    <row r="129" spans="1:15" ht="78.75">
      <c r="A129" s="241">
        <f>+A128+1</f>
        <v>98</v>
      </c>
      <c r="B129" s="292" t="s">
        <v>498</v>
      </c>
      <c r="C129" s="204"/>
      <c r="D129" s="204"/>
      <c r="E129" s="237"/>
      <c r="F129" s="248">
        <v>0.18</v>
      </c>
      <c r="G129" s="238"/>
      <c r="H129" s="319" t="s">
        <v>499</v>
      </c>
      <c r="I129" s="321" t="s">
        <v>306</v>
      </c>
      <c r="J129" s="293">
        <v>185</v>
      </c>
      <c r="K129" s="290">
        <v>1505.25</v>
      </c>
      <c r="L129" s="147">
        <v>0.18</v>
      </c>
      <c r="M129" s="147">
        <f t="shared" si="14"/>
        <v>1275.6400000000001</v>
      </c>
      <c r="N129" s="147">
        <f t="shared" si="15"/>
        <v>235993.4</v>
      </c>
      <c r="O129" s="148">
        <f t="shared" si="16"/>
        <v>42478.81</v>
      </c>
    </row>
    <row r="130" spans="1:15" ht="126">
      <c r="A130" s="241">
        <f>+A129+1</f>
        <v>99</v>
      </c>
      <c r="B130" s="292" t="s">
        <v>500</v>
      </c>
      <c r="C130" s="204"/>
      <c r="D130" s="204"/>
      <c r="E130" s="237"/>
      <c r="F130" s="248">
        <v>0.18</v>
      </c>
      <c r="G130" s="238"/>
      <c r="H130" s="319" t="s">
        <v>501</v>
      </c>
      <c r="I130" s="293" t="s">
        <v>359</v>
      </c>
      <c r="J130" s="293">
        <v>23</v>
      </c>
      <c r="K130" s="290">
        <v>2823.85</v>
      </c>
      <c r="L130" s="147">
        <v>0.18</v>
      </c>
      <c r="M130" s="147">
        <f t="shared" si="14"/>
        <v>2393.09</v>
      </c>
      <c r="N130" s="147">
        <f t="shared" si="15"/>
        <v>55041.07</v>
      </c>
      <c r="O130" s="148">
        <f t="shared" si="16"/>
        <v>9907.39</v>
      </c>
    </row>
    <row r="131" spans="1:15" ht="94.5">
      <c r="A131" s="241">
        <f>+A130+1</f>
        <v>100</v>
      </c>
      <c r="B131" s="292" t="s">
        <v>502</v>
      </c>
      <c r="C131" s="204"/>
      <c r="D131" s="204"/>
      <c r="E131" s="237"/>
      <c r="F131" s="248">
        <v>0.18</v>
      </c>
      <c r="G131" s="238"/>
      <c r="H131" s="319" t="s">
        <v>503</v>
      </c>
      <c r="I131" s="293" t="s">
        <v>284</v>
      </c>
      <c r="J131" s="293">
        <v>673</v>
      </c>
      <c r="K131" s="290">
        <v>96.75</v>
      </c>
      <c r="L131" s="147">
        <v>0.18</v>
      </c>
      <c r="M131" s="147">
        <f t="shared" si="14"/>
        <v>81.99</v>
      </c>
      <c r="N131" s="147">
        <f t="shared" si="15"/>
        <v>55179.27</v>
      </c>
      <c r="O131" s="148">
        <f t="shared" si="16"/>
        <v>9932.27</v>
      </c>
    </row>
    <row r="132" spans="1:15" ht="47.25">
      <c r="A132" s="241">
        <f>+A131+1</f>
        <v>101</v>
      </c>
      <c r="B132" s="292">
        <v>21.13</v>
      </c>
      <c r="C132" s="204"/>
      <c r="D132" s="204"/>
      <c r="E132" s="237"/>
      <c r="F132" s="248">
        <v>0.18</v>
      </c>
      <c r="G132" s="238"/>
      <c r="H132" s="319" t="s">
        <v>504</v>
      </c>
      <c r="I132" s="293" t="s">
        <v>359</v>
      </c>
      <c r="J132" s="293">
        <v>18</v>
      </c>
      <c r="K132" s="290">
        <v>528.85</v>
      </c>
      <c r="L132" s="147">
        <v>0.18</v>
      </c>
      <c r="M132" s="147">
        <f t="shared" si="14"/>
        <v>448.18</v>
      </c>
      <c r="N132" s="147">
        <f t="shared" si="15"/>
        <v>8067.24</v>
      </c>
      <c r="O132" s="148">
        <f t="shared" si="16"/>
        <v>1452.1</v>
      </c>
    </row>
    <row r="133" spans="1:15">
      <c r="A133" s="241"/>
      <c r="B133" s="292"/>
      <c r="C133" s="204"/>
      <c r="D133" s="204"/>
      <c r="E133" s="237"/>
      <c r="F133" s="248"/>
      <c r="G133" s="238"/>
      <c r="H133" s="288" t="s">
        <v>505</v>
      </c>
      <c r="I133" s="293"/>
      <c r="J133" s="293"/>
      <c r="K133" s="290"/>
      <c r="L133" s="147"/>
      <c r="M133" s="147"/>
      <c r="N133" s="147"/>
      <c r="O133" s="148"/>
    </row>
    <row r="134" spans="1:15" ht="409.5">
      <c r="A134" s="241">
        <f>+A132+1</f>
        <v>102</v>
      </c>
      <c r="B134" s="292" t="s">
        <v>506</v>
      </c>
      <c r="C134" s="204"/>
      <c r="D134" s="204"/>
      <c r="E134" s="237"/>
      <c r="F134" s="248">
        <v>0.18</v>
      </c>
      <c r="G134" s="238"/>
      <c r="H134" s="319" t="s">
        <v>507</v>
      </c>
      <c r="I134" s="293" t="s">
        <v>306</v>
      </c>
      <c r="J134" s="293">
        <v>826</v>
      </c>
      <c r="K134" s="290">
        <v>1684.6</v>
      </c>
      <c r="L134" s="147">
        <v>0.18</v>
      </c>
      <c r="M134" s="147">
        <f t="shared" si="12"/>
        <v>1427.63</v>
      </c>
      <c r="N134" s="147">
        <f>ROUND(M134*J134,2)</f>
        <v>1179222.3799999999</v>
      </c>
      <c r="O134" s="148">
        <f t="shared" si="13"/>
        <v>212260.03</v>
      </c>
    </row>
    <row r="135" spans="1:15" ht="299.25" customHeight="1">
      <c r="A135" s="241">
        <f>+A134+1</f>
        <v>103</v>
      </c>
      <c r="B135" s="292" t="s">
        <v>508</v>
      </c>
      <c r="C135" s="204"/>
      <c r="D135" s="204"/>
      <c r="E135" s="237"/>
      <c r="F135" s="248">
        <v>0.18</v>
      </c>
      <c r="G135" s="238"/>
      <c r="H135" s="319" t="s">
        <v>509</v>
      </c>
      <c r="I135" s="293" t="s">
        <v>284</v>
      </c>
      <c r="J135" s="293">
        <v>31</v>
      </c>
      <c r="K135" s="290">
        <v>1111.3</v>
      </c>
      <c r="L135" s="147">
        <v>0.18</v>
      </c>
      <c r="M135" s="147">
        <f t="shared" si="12"/>
        <v>941.78</v>
      </c>
      <c r="N135" s="147">
        <f>ROUND(M135*J135,2)</f>
        <v>29195.18</v>
      </c>
      <c r="O135" s="148">
        <f t="shared" si="13"/>
        <v>5255.13</v>
      </c>
    </row>
    <row r="136" spans="1:15" ht="255">
      <c r="A136" s="241">
        <f>+A135+1</f>
        <v>104</v>
      </c>
      <c r="B136" s="292" t="s">
        <v>510</v>
      </c>
      <c r="C136" s="204"/>
      <c r="D136" s="204"/>
      <c r="E136" s="237"/>
      <c r="F136" s="248">
        <v>0.18</v>
      </c>
      <c r="G136" s="238"/>
      <c r="H136" s="289" t="s">
        <v>511</v>
      </c>
      <c r="I136" s="293" t="s">
        <v>306</v>
      </c>
      <c r="J136" s="293">
        <v>12</v>
      </c>
      <c r="K136" s="290">
        <v>4346.7</v>
      </c>
      <c r="L136" s="147">
        <v>0.18</v>
      </c>
      <c r="M136" s="147">
        <f>ROUND(K136/(1+L136),2)</f>
        <v>3683.64</v>
      </c>
      <c r="N136" s="147">
        <f>ROUND(M136*J136,2)</f>
        <v>44203.68</v>
      </c>
      <c r="O136" s="148">
        <f t="shared" si="13"/>
        <v>7956.66</v>
      </c>
    </row>
    <row r="137" spans="1:15" ht="36">
      <c r="A137" s="257"/>
      <c r="B137" s="258"/>
      <c r="C137" s="259"/>
      <c r="D137" s="260"/>
      <c r="E137" s="261"/>
      <c r="F137" s="262"/>
      <c r="G137" s="263"/>
      <c r="H137" s="264" t="s">
        <v>512</v>
      </c>
      <c r="I137" s="299"/>
      <c r="J137" s="265"/>
      <c r="K137" s="291"/>
      <c r="L137" s="267"/>
      <c r="M137" s="266"/>
      <c r="N137" s="268">
        <f>SUM(N13:N136)</f>
        <v>22060768.970000003</v>
      </c>
      <c r="O137" s="268">
        <f>SUM(O13:O136)</f>
        <v>3970938.4</v>
      </c>
    </row>
    <row r="138" spans="1:15" ht="36">
      <c r="A138" s="217"/>
      <c r="B138" s="211" t="s">
        <v>267</v>
      </c>
      <c r="C138" s="259"/>
      <c r="D138" s="260"/>
      <c r="E138" s="261"/>
      <c r="F138" s="262"/>
      <c r="G138" s="263"/>
      <c r="H138" s="242" t="s">
        <v>513</v>
      </c>
      <c r="I138" s="298"/>
      <c r="J138" s="218"/>
      <c r="K138" s="291"/>
      <c r="L138" s="220"/>
      <c r="M138" s="219"/>
      <c r="N138" s="219"/>
      <c r="O138" s="218"/>
    </row>
    <row r="139" spans="1:15" ht="18.75">
      <c r="A139" s="217"/>
      <c r="B139" s="211"/>
      <c r="C139" s="259"/>
      <c r="D139" s="260"/>
      <c r="E139" s="261"/>
      <c r="F139" s="262"/>
      <c r="G139" s="263"/>
      <c r="H139" s="288" t="s">
        <v>269</v>
      </c>
      <c r="I139" s="332"/>
      <c r="J139" s="333"/>
      <c r="K139" s="291"/>
      <c r="L139" s="220"/>
      <c r="M139" s="219"/>
      <c r="N139" s="219"/>
      <c r="O139" s="218"/>
    </row>
    <row r="140" spans="1:15" ht="60" customHeight="1">
      <c r="A140" s="241">
        <v>1</v>
      </c>
      <c r="B140" s="292" t="s">
        <v>270</v>
      </c>
      <c r="C140" s="204"/>
      <c r="D140" s="204"/>
      <c r="E140" s="237"/>
      <c r="F140" s="248">
        <v>0.18</v>
      </c>
      <c r="G140" s="238"/>
      <c r="H140" s="249" t="s">
        <v>271</v>
      </c>
      <c r="I140" s="293" t="s">
        <v>272</v>
      </c>
      <c r="J140" s="293">
        <v>13</v>
      </c>
      <c r="K140" s="290">
        <v>245.82</v>
      </c>
      <c r="L140" s="147">
        <v>0.18</v>
      </c>
      <c r="M140" s="147">
        <f>ROUND(K140/(1+L140),2)</f>
        <v>208.32</v>
      </c>
      <c r="N140" s="147">
        <f>ROUND(M140*J140,2)</f>
        <v>2708.16</v>
      </c>
      <c r="O140" s="148">
        <f>ROUND(N140*18%,2)</f>
        <v>487.47</v>
      </c>
    </row>
    <row r="141" spans="1:15" ht="45">
      <c r="A141" s="241">
        <f>A140+1</f>
        <v>2</v>
      </c>
      <c r="B141" s="292" t="s">
        <v>273</v>
      </c>
      <c r="C141" s="204"/>
      <c r="D141" s="204"/>
      <c r="E141" s="237"/>
      <c r="F141" s="248">
        <v>0.18</v>
      </c>
      <c r="G141" s="238"/>
      <c r="H141" s="249" t="s">
        <v>274</v>
      </c>
      <c r="I141" s="294" t="s">
        <v>272</v>
      </c>
      <c r="J141" s="294">
        <v>168</v>
      </c>
      <c r="K141" s="290">
        <v>393.32</v>
      </c>
      <c r="L141" s="147">
        <v>0.18</v>
      </c>
      <c r="M141" s="147">
        <f t="shared" ref="M141" si="17">ROUND(K141/(1+L141),2)</f>
        <v>333.32</v>
      </c>
      <c r="N141" s="147">
        <f t="shared" ref="N141" si="18">ROUND(M141*J141,2)</f>
        <v>55997.760000000002</v>
      </c>
      <c r="O141" s="148">
        <f t="shared" ref="O141" si="19">ROUND(N141*18%,2)</f>
        <v>10079.6</v>
      </c>
    </row>
    <row r="142" spans="1:15">
      <c r="A142" s="241"/>
      <c r="B142" s="292"/>
      <c r="C142" s="204"/>
      <c r="D142" s="204"/>
      <c r="E142" s="237"/>
      <c r="F142" s="248">
        <v>0.18</v>
      </c>
      <c r="G142" s="238"/>
      <c r="H142" s="288" t="s">
        <v>275</v>
      </c>
      <c r="I142" s="293"/>
      <c r="J142" s="293"/>
      <c r="K142" s="290"/>
      <c r="L142" s="146"/>
      <c r="M142" s="147"/>
      <c r="N142" s="147"/>
      <c r="O142" s="148"/>
    </row>
    <row r="143" spans="1:15" ht="90">
      <c r="A143" s="241">
        <f>+A141+1</f>
        <v>3</v>
      </c>
      <c r="B143" s="292" t="s">
        <v>276</v>
      </c>
      <c r="C143" s="204"/>
      <c r="D143" s="204"/>
      <c r="E143" s="237"/>
      <c r="F143" s="248">
        <v>0.18</v>
      </c>
      <c r="G143" s="238"/>
      <c r="H143" s="249" t="s">
        <v>277</v>
      </c>
      <c r="I143" s="293" t="s">
        <v>272</v>
      </c>
      <c r="J143" s="293">
        <v>36</v>
      </c>
      <c r="K143" s="290">
        <v>260.3</v>
      </c>
      <c r="L143" s="147">
        <v>0.18</v>
      </c>
      <c r="M143" s="147">
        <f t="shared" ref="M143:M144" si="20">ROUND(K143/(1+L143),2)</f>
        <v>220.59</v>
      </c>
      <c r="N143" s="147">
        <f t="shared" ref="N143:N144" si="21">ROUND(M143*J143,2)</f>
        <v>7941.24</v>
      </c>
      <c r="O143" s="148">
        <f t="shared" ref="O143:O144" si="22">ROUND(N143*18%,2)</f>
        <v>1429.42</v>
      </c>
    </row>
    <row r="144" spans="1:15" ht="105">
      <c r="A144" s="241">
        <f>+A143+1</f>
        <v>4</v>
      </c>
      <c r="B144" s="292" t="s">
        <v>278</v>
      </c>
      <c r="C144" s="204"/>
      <c r="D144" s="204"/>
      <c r="E144" s="237"/>
      <c r="F144" s="248">
        <v>0.18</v>
      </c>
      <c r="G144" s="238"/>
      <c r="H144" s="249" t="s">
        <v>279</v>
      </c>
      <c r="I144" s="293" t="s">
        <v>272</v>
      </c>
      <c r="J144" s="293">
        <v>79</v>
      </c>
      <c r="K144" s="290">
        <v>632.95000000000005</v>
      </c>
      <c r="L144" s="147">
        <v>0.18</v>
      </c>
      <c r="M144" s="147">
        <f t="shared" si="20"/>
        <v>536.4</v>
      </c>
      <c r="N144" s="147">
        <f t="shared" si="21"/>
        <v>42375.6</v>
      </c>
      <c r="O144" s="148">
        <f t="shared" si="22"/>
        <v>7627.61</v>
      </c>
    </row>
    <row r="145" spans="1:15" ht="110.25">
      <c r="A145" s="241">
        <f>+A144+1</f>
        <v>5</v>
      </c>
      <c r="B145" s="334" t="s">
        <v>280</v>
      </c>
      <c r="C145" s="204"/>
      <c r="D145" s="204"/>
      <c r="E145" s="237"/>
      <c r="F145" s="248">
        <v>0.18</v>
      </c>
      <c r="G145" s="238"/>
      <c r="H145" s="319" t="s">
        <v>281</v>
      </c>
      <c r="I145" s="293" t="s">
        <v>272</v>
      </c>
      <c r="J145" s="293">
        <v>89</v>
      </c>
      <c r="K145" s="290">
        <v>1049.8</v>
      </c>
      <c r="L145" s="147">
        <v>0.18</v>
      </c>
      <c r="M145" s="147">
        <f t="shared" ref="M145:M201" si="23">ROUND(K145/(1+L145),2)</f>
        <v>889.66</v>
      </c>
      <c r="N145" s="147">
        <f t="shared" ref="N145:N201" si="24">ROUND(M145*J145,2)</f>
        <v>79179.740000000005</v>
      </c>
      <c r="O145" s="148">
        <f t="shared" ref="O145:O201" si="25">ROUND(N145*18%,2)</f>
        <v>14252.35</v>
      </c>
    </row>
    <row r="146" spans="1:15" ht="110.25">
      <c r="A146" s="241">
        <f t="shared" ref="A146:A174" si="26">+A145+1</f>
        <v>6</v>
      </c>
      <c r="B146" s="334" t="s">
        <v>282</v>
      </c>
      <c r="C146" s="204"/>
      <c r="D146" s="204"/>
      <c r="E146" s="237"/>
      <c r="F146" s="248">
        <v>0.18</v>
      </c>
      <c r="G146" s="238"/>
      <c r="H146" s="319" t="s">
        <v>283</v>
      </c>
      <c r="I146" s="293" t="s">
        <v>272</v>
      </c>
      <c r="J146" s="293">
        <v>2</v>
      </c>
      <c r="K146" s="290">
        <v>352.15</v>
      </c>
      <c r="L146" s="147">
        <v>0.18</v>
      </c>
      <c r="M146" s="147">
        <f t="shared" si="23"/>
        <v>298.43</v>
      </c>
      <c r="N146" s="147">
        <f t="shared" si="24"/>
        <v>596.86</v>
      </c>
      <c r="O146" s="148">
        <f t="shared" si="25"/>
        <v>107.43</v>
      </c>
    </row>
    <row r="147" spans="1:15" ht="126">
      <c r="A147" s="241">
        <f t="shared" si="26"/>
        <v>7</v>
      </c>
      <c r="B147" s="334" t="s">
        <v>285</v>
      </c>
      <c r="C147" s="204"/>
      <c r="D147" s="204"/>
      <c r="E147" s="237"/>
      <c r="F147" s="248">
        <v>0.18</v>
      </c>
      <c r="G147" s="238"/>
      <c r="H147" s="319" t="s">
        <v>286</v>
      </c>
      <c r="I147" s="293" t="s">
        <v>284</v>
      </c>
      <c r="J147" s="293">
        <v>3</v>
      </c>
      <c r="K147" s="290">
        <v>998.65</v>
      </c>
      <c r="L147" s="147">
        <v>0.18</v>
      </c>
      <c r="M147" s="147">
        <f t="shared" si="23"/>
        <v>846.31</v>
      </c>
      <c r="N147" s="147">
        <f t="shared" si="24"/>
        <v>2538.9299999999998</v>
      </c>
      <c r="O147" s="148">
        <f t="shared" si="25"/>
        <v>457.01</v>
      </c>
    </row>
    <row r="148" spans="1:15" ht="126">
      <c r="A148" s="241">
        <f t="shared" si="26"/>
        <v>8</v>
      </c>
      <c r="B148" s="334" t="s">
        <v>287</v>
      </c>
      <c r="C148" s="204"/>
      <c r="D148" s="204"/>
      <c r="E148" s="237"/>
      <c r="F148" s="248">
        <v>0.18</v>
      </c>
      <c r="G148" s="238"/>
      <c r="H148" s="319" t="s">
        <v>288</v>
      </c>
      <c r="I148" s="325" t="s">
        <v>284</v>
      </c>
      <c r="J148" s="293">
        <v>5</v>
      </c>
      <c r="K148" s="290">
        <v>1493.6</v>
      </c>
      <c r="L148" s="147">
        <v>0.18</v>
      </c>
      <c r="M148" s="147">
        <f t="shared" si="23"/>
        <v>1265.76</v>
      </c>
      <c r="N148" s="147">
        <f t="shared" si="24"/>
        <v>6328.8</v>
      </c>
      <c r="O148" s="148">
        <f t="shared" si="25"/>
        <v>1139.18</v>
      </c>
    </row>
    <row r="149" spans="1:15" ht="47.25">
      <c r="A149" s="241">
        <f t="shared" si="26"/>
        <v>9</v>
      </c>
      <c r="B149" s="334" t="s">
        <v>289</v>
      </c>
      <c r="C149" s="204"/>
      <c r="D149" s="204"/>
      <c r="E149" s="237"/>
      <c r="F149" s="248">
        <v>0.18</v>
      </c>
      <c r="G149" s="238"/>
      <c r="H149" s="319" t="s">
        <v>290</v>
      </c>
      <c r="I149" s="325" t="s">
        <v>272</v>
      </c>
      <c r="J149" s="293">
        <v>26</v>
      </c>
      <c r="K149" s="290">
        <v>196</v>
      </c>
      <c r="L149" s="147">
        <v>0.18</v>
      </c>
      <c r="M149" s="147">
        <f t="shared" si="23"/>
        <v>166.1</v>
      </c>
      <c r="N149" s="147">
        <f t="shared" si="24"/>
        <v>4318.6000000000004</v>
      </c>
      <c r="O149" s="148">
        <f t="shared" si="25"/>
        <v>777.35</v>
      </c>
    </row>
    <row r="150" spans="1:15" ht="63">
      <c r="A150" s="241">
        <f t="shared" si="26"/>
        <v>10</v>
      </c>
      <c r="B150" s="334" t="s">
        <v>291</v>
      </c>
      <c r="C150" s="204"/>
      <c r="D150" s="204"/>
      <c r="E150" s="237"/>
      <c r="F150" s="248">
        <v>0.18</v>
      </c>
      <c r="G150" s="238"/>
      <c r="H150" s="319" t="s">
        <v>292</v>
      </c>
      <c r="I150" s="325" t="s">
        <v>272</v>
      </c>
      <c r="J150" s="293">
        <v>128</v>
      </c>
      <c r="K150" s="290">
        <v>700.5</v>
      </c>
      <c r="L150" s="147">
        <v>0.18</v>
      </c>
      <c r="M150" s="147">
        <f t="shared" si="23"/>
        <v>593.64</v>
      </c>
      <c r="N150" s="147">
        <f t="shared" si="24"/>
        <v>75985.919999999998</v>
      </c>
      <c r="O150" s="148">
        <f t="shared" si="25"/>
        <v>13677.47</v>
      </c>
    </row>
    <row r="151" spans="1:15" ht="31.5">
      <c r="A151" s="241">
        <f t="shared" si="26"/>
        <v>11</v>
      </c>
      <c r="B151" s="334" t="s">
        <v>293</v>
      </c>
      <c r="C151" s="204"/>
      <c r="D151" s="204"/>
      <c r="E151" s="237"/>
      <c r="F151" s="248">
        <v>0.18</v>
      </c>
      <c r="G151" s="238"/>
      <c r="H151" s="319" t="s">
        <v>294</v>
      </c>
      <c r="I151" s="325" t="s">
        <v>295</v>
      </c>
      <c r="J151" s="293">
        <v>85</v>
      </c>
      <c r="K151" s="290">
        <v>234.75</v>
      </c>
      <c r="L151" s="147">
        <v>0.18</v>
      </c>
      <c r="M151" s="147">
        <f t="shared" si="23"/>
        <v>198.94</v>
      </c>
      <c r="N151" s="147">
        <f t="shared" si="24"/>
        <v>16909.900000000001</v>
      </c>
      <c r="O151" s="148">
        <f t="shared" si="25"/>
        <v>3043.78</v>
      </c>
    </row>
    <row r="152" spans="1:15">
      <c r="A152" s="241">
        <f t="shared" si="26"/>
        <v>12</v>
      </c>
      <c r="B152" s="292"/>
      <c r="C152" s="204"/>
      <c r="D152" s="204"/>
      <c r="E152" s="237"/>
      <c r="F152" s="248">
        <v>0.18</v>
      </c>
      <c r="G152" s="238"/>
      <c r="H152" s="288" t="s">
        <v>296</v>
      </c>
      <c r="I152" s="293"/>
      <c r="J152" s="293"/>
      <c r="K152" s="290"/>
      <c r="L152" s="147">
        <v>0.18</v>
      </c>
      <c r="M152" s="147">
        <f t="shared" si="23"/>
        <v>0</v>
      </c>
      <c r="N152" s="147">
        <f t="shared" si="24"/>
        <v>0</v>
      </c>
      <c r="O152" s="148">
        <f t="shared" si="25"/>
        <v>0</v>
      </c>
    </row>
    <row r="153" spans="1:15" ht="63">
      <c r="A153" s="241">
        <f t="shared" si="26"/>
        <v>13</v>
      </c>
      <c r="B153" s="334" t="s">
        <v>297</v>
      </c>
      <c r="C153" s="204"/>
      <c r="D153" s="204"/>
      <c r="E153" s="237"/>
      <c r="F153" s="248">
        <v>0.18</v>
      </c>
      <c r="G153" s="238"/>
      <c r="H153" s="319" t="s">
        <v>298</v>
      </c>
      <c r="I153" s="293" t="s">
        <v>272</v>
      </c>
      <c r="J153" s="293">
        <v>30</v>
      </c>
      <c r="K153" s="290">
        <v>6812</v>
      </c>
      <c r="L153" s="147">
        <v>0.18</v>
      </c>
      <c r="M153" s="147">
        <f t="shared" si="23"/>
        <v>5772.88</v>
      </c>
      <c r="N153" s="147">
        <f t="shared" si="24"/>
        <v>173186.4</v>
      </c>
      <c r="O153" s="148">
        <f t="shared" si="25"/>
        <v>31173.55</v>
      </c>
    </row>
    <row r="154" spans="1:15" ht="110.25">
      <c r="A154" s="241">
        <f t="shared" si="26"/>
        <v>14</v>
      </c>
      <c r="B154" s="334" t="s">
        <v>299</v>
      </c>
      <c r="C154" s="204"/>
      <c r="D154" s="204"/>
      <c r="E154" s="237"/>
      <c r="F154" s="248">
        <v>0.18</v>
      </c>
      <c r="G154" s="238"/>
      <c r="H154" s="318" t="s">
        <v>514</v>
      </c>
      <c r="I154" s="293" t="s">
        <v>272</v>
      </c>
      <c r="J154" s="293">
        <v>7</v>
      </c>
      <c r="K154" s="290">
        <v>9895.2000000000007</v>
      </c>
      <c r="L154" s="147">
        <v>0.18</v>
      </c>
      <c r="M154" s="147">
        <f t="shared" si="23"/>
        <v>8385.76</v>
      </c>
      <c r="N154" s="147">
        <f t="shared" si="24"/>
        <v>58700.32</v>
      </c>
      <c r="O154" s="148">
        <f t="shared" si="25"/>
        <v>10566.06</v>
      </c>
    </row>
    <row r="155" spans="1:15" ht="47.25">
      <c r="A155" s="241">
        <f t="shared" si="26"/>
        <v>15</v>
      </c>
      <c r="B155" s="334" t="s">
        <v>301</v>
      </c>
      <c r="C155" s="204"/>
      <c r="D155" s="204"/>
      <c r="E155" s="237"/>
      <c r="F155" s="248">
        <v>0.18</v>
      </c>
      <c r="G155" s="238"/>
      <c r="H155" s="318" t="s">
        <v>302</v>
      </c>
      <c r="I155" s="293" t="s">
        <v>303</v>
      </c>
      <c r="J155" s="293">
        <v>41</v>
      </c>
      <c r="K155" s="290">
        <v>392.15</v>
      </c>
      <c r="L155" s="147">
        <v>0.18</v>
      </c>
      <c r="M155" s="147">
        <f t="shared" si="23"/>
        <v>332.33</v>
      </c>
      <c r="N155" s="147">
        <f t="shared" si="24"/>
        <v>13625.53</v>
      </c>
      <c r="O155" s="148">
        <f t="shared" si="25"/>
        <v>2452.6</v>
      </c>
    </row>
    <row r="156" spans="1:15" ht="63">
      <c r="A156" s="241">
        <f t="shared" si="26"/>
        <v>16</v>
      </c>
      <c r="B156" s="334" t="s">
        <v>304</v>
      </c>
      <c r="C156" s="204"/>
      <c r="D156" s="204"/>
      <c r="E156" s="237"/>
      <c r="F156" s="248">
        <v>0.18</v>
      </c>
      <c r="G156" s="238"/>
      <c r="H156" s="319" t="s">
        <v>305</v>
      </c>
      <c r="I156" s="293" t="s">
        <v>306</v>
      </c>
      <c r="J156" s="293">
        <v>41</v>
      </c>
      <c r="K156" s="290">
        <v>146.15</v>
      </c>
      <c r="L156" s="147">
        <v>0.18</v>
      </c>
      <c r="M156" s="147">
        <f t="shared" si="23"/>
        <v>123.86</v>
      </c>
      <c r="N156" s="147">
        <f t="shared" si="24"/>
        <v>5078.26</v>
      </c>
      <c r="O156" s="148">
        <f t="shared" si="25"/>
        <v>914.09</v>
      </c>
    </row>
    <row r="157" spans="1:15" ht="31.5">
      <c r="A157" s="241">
        <f t="shared" si="26"/>
        <v>17</v>
      </c>
      <c r="B157" s="334" t="s">
        <v>307</v>
      </c>
      <c r="C157" s="204"/>
      <c r="D157" s="204"/>
      <c r="E157" s="237"/>
      <c r="F157" s="248">
        <v>0.18</v>
      </c>
      <c r="G157" s="238"/>
      <c r="H157" s="319" t="s">
        <v>308</v>
      </c>
      <c r="I157" s="335" t="s">
        <v>309</v>
      </c>
      <c r="J157" s="293">
        <v>43</v>
      </c>
      <c r="K157" s="290">
        <v>18.149999999999999</v>
      </c>
      <c r="L157" s="147">
        <v>0.18</v>
      </c>
      <c r="M157" s="147">
        <f t="shared" si="23"/>
        <v>15.38</v>
      </c>
      <c r="N157" s="147">
        <f t="shared" si="24"/>
        <v>661.34</v>
      </c>
      <c r="O157" s="148">
        <f t="shared" si="25"/>
        <v>119.04</v>
      </c>
    </row>
    <row r="158" spans="1:15" ht="94.5">
      <c r="A158" s="241">
        <f t="shared" si="26"/>
        <v>18</v>
      </c>
      <c r="B158" s="334" t="s">
        <v>310</v>
      </c>
      <c r="C158" s="204"/>
      <c r="D158" s="204"/>
      <c r="E158" s="237"/>
      <c r="F158" s="248">
        <v>0.18</v>
      </c>
      <c r="G158" s="238"/>
      <c r="H158" s="319" t="s">
        <v>311</v>
      </c>
      <c r="I158" s="325" t="s">
        <v>306</v>
      </c>
      <c r="J158" s="293">
        <v>53</v>
      </c>
      <c r="K158" s="290">
        <v>749.3</v>
      </c>
      <c r="L158" s="147">
        <v>0.18</v>
      </c>
      <c r="M158" s="147">
        <f t="shared" si="23"/>
        <v>635</v>
      </c>
      <c r="N158" s="147">
        <f t="shared" si="24"/>
        <v>33655</v>
      </c>
      <c r="O158" s="148">
        <f t="shared" si="25"/>
        <v>6057.9</v>
      </c>
    </row>
    <row r="159" spans="1:15">
      <c r="A159" s="241"/>
      <c r="B159" s="292"/>
      <c r="C159" s="204"/>
      <c r="D159" s="204"/>
      <c r="E159" s="237"/>
      <c r="F159" s="248">
        <v>0.18</v>
      </c>
      <c r="G159" s="238"/>
      <c r="H159" s="288" t="s">
        <v>515</v>
      </c>
      <c r="I159" s="293"/>
      <c r="J159" s="293"/>
      <c r="K159" s="290"/>
      <c r="L159" s="147">
        <v>0.18</v>
      </c>
      <c r="M159" s="147">
        <f t="shared" si="23"/>
        <v>0</v>
      </c>
      <c r="N159" s="147">
        <f t="shared" si="24"/>
        <v>0</v>
      </c>
      <c r="O159" s="148">
        <f t="shared" si="25"/>
        <v>0</v>
      </c>
    </row>
    <row r="160" spans="1:15" ht="267.75">
      <c r="A160" s="241">
        <f>+A158+1</f>
        <v>19</v>
      </c>
      <c r="B160" s="334" t="s">
        <v>338</v>
      </c>
      <c r="C160" s="204"/>
      <c r="D160" s="204"/>
      <c r="E160" s="237"/>
      <c r="F160" s="248">
        <v>0.18</v>
      </c>
      <c r="G160" s="238"/>
      <c r="H160" s="319" t="s">
        <v>516</v>
      </c>
      <c r="I160" s="293" t="s">
        <v>272</v>
      </c>
      <c r="J160" s="293">
        <v>50</v>
      </c>
      <c r="K160" s="290">
        <v>9504.75</v>
      </c>
      <c r="L160" s="147">
        <v>0.18</v>
      </c>
      <c r="M160" s="147">
        <f t="shared" si="23"/>
        <v>8054.87</v>
      </c>
      <c r="N160" s="147">
        <f t="shared" si="24"/>
        <v>402743.5</v>
      </c>
      <c r="O160" s="148">
        <f t="shared" si="25"/>
        <v>72493.83</v>
      </c>
    </row>
    <row r="161" spans="1:15" ht="267.75">
      <c r="A161" s="241">
        <f t="shared" si="26"/>
        <v>20</v>
      </c>
      <c r="B161" s="334" t="s">
        <v>340</v>
      </c>
      <c r="C161" s="204"/>
      <c r="D161" s="204"/>
      <c r="E161" s="237"/>
      <c r="F161" s="248">
        <v>0.18</v>
      </c>
      <c r="G161" s="238"/>
      <c r="H161" s="319" t="s">
        <v>517</v>
      </c>
      <c r="I161" s="293" t="s">
        <v>272</v>
      </c>
      <c r="J161" s="293">
        <v>146</v>
      </c>
      <c r="K161" s="290">
        <v>9860.4</v>
      </c>
      <c r="L161" s="147">
        <v>0.18</v>
      </c>
      <c r="M161" s="147">
        <f t="shared" si="23"/>
        <v>8356.27</v>
      </c>
      <c r="N161" s="147">
        <f t="shared" si="24"/>
        <v>1220015.42</v>
      </c>
      <c r="O161" s="148">
        <f t="shared" si="25"/>
        <v>219602.78</v>
      </c>
    </row>
    <row r="162" spans="1:15" ht="31.5">
      <c r="A162" s="241">
        <f t="shared" si="26"/>
        <v>21</v>
      </c>
      <c r="B162" s="334" t="s">
        <v>342</v>
      </c>
      <c r="C162" s="204"/>
      <c r="D162" s="204"/>
      <c r="E162" s="237"/>
      <c r="F162" s="248">
        <v>0.18</v>
      </c>
      <c r="G162" s="238"/>
      <c r="H162" s="319" t="s">
        <v>343</v>
      </c>
      <c r="I162" s="293" t="s">
        <v>344</v>
      </c>
      <c r="J162" s="293">
        <v>138</v>
      </c>
      <c r="K162" s="290">
        <v>733.5</v>
      </c>
      <c r="L162" s="147">
        <v>0.18</v>
      </c>
      <c r="M162" s="147">
        <f t="shared" si="23"/>
        <v>621.61</v>
      </c>
      <c r="N162" s="147">
        <f t="shared" si="24"/>
        <v>85782.18</v>
      </c>
      <c r="O162" s="148">
        <f t="shared" si="25"/>
        <v>15440.79</v>
      </c>
    </row>
    <row r="163" spans="1:15" ht="31.5">
      <c r="A163" s="241">
        <f t="shared" si="26"/>
        <v>22</v>
      </c>
      <c r="B163" s="334" t="s">
        <v>313</v>
      </c>
      <c r="C163" s="204"/>
      <c r="D163" s="204"/>
      <c r="E163" s="237"/>
      <c r="F163" s="248">
        <v>0.18</v>
      </c>
      <c r="G163" s="238"/>
      <c r="H163" s="319" t="s">
        <v>314</v>
      </c>
      <c r="I163" s="293"/>
      <c r="J163" s="293"/>
      <c r="K163" s="290"/>
      <c r="L163" s="147">
        <v>0.18</v>
      </c>
      <c r="M163" s="147">
        <f t="shared" si="23"/>
        <v>0</v>
      </c>
      <c r="N163" s="147">
        <f t="shared" si="24"/>
        <v>0</v>
      </c>
      <c r="O163" s="148">
        <f t="shared" si="25"/>
        <v>0</v>
      </c>
    </row>
    <row r="164" spans="1:15">
      <c r="A164" s="241">
        <f t="shared" si="26"/>
        <v>23</v>
      </c>
      <c r="B164" s="334" t="s">
        <v>315</v>
      </c>
      <c r="C164" s="204"/>
      <c r="D164" s="204"/>
      <c r="E164" s="237"/>
      <c r="F164" s="248">
        <v>0.18</v>
      </c>
      <c r="G164" s="238"/>
      <c r="H164" s="319" t="s">
        <v>316</v>
      </c>
      <c r="I164" s="293" t="s">
        <v>306</v>
      </c>
      <c r="J164" s="293">
        <v>169</v>
      </c>
      <c r="K164" s="290">
        <v>392.15</v>
      </c>
      <c r="L164" s="147">
        <v>0.18</v>
      </c>
      <c r="M164" s="147">
        <f t="shared" si="23"/>
        <v>332.33</v>
      </c>
      <c r="N164" s="147">
        <f t="shared" si="24"/>
        <v>56163.77</v>
      </c>
      <c r="O164" s="148">
        <f t="shared" si="25"/>
        <v>10109.48</v>
      </c>
    </row>
    <row r="165" spans="1:15" ht="31.5">
      <c r="A165" s="241">
        <f t="shared" si="26"/>
        <v>24</v>
      </c>
      <c r="B165" s="336" t="s">
        <v>317</v>
      </c>
      <c r="C165" s="204"/>
      <c r="D165" s="204"/>
      <c r="E165" s="237"/>
      <c r="F165" s="248">
        <v>0.18</v>
      </c>
      <c r="G165" s="238"/>
      <c r="H165" s="319" t="s">
        <v>318</v>
      </c>
      <c r="I165" s="293" t="s">
        <v>306</v>
      </c>
      <c r="J165" s="293">
        <v>10</v>
      </c>
      <c r="K165" s="290">
        <v>842.5</v>
      </c>
      <c r="L165" s="147">
        <v>0.18</v>
      </c>
      <c r="M165" s="147">
        <f t="shared" si="23"/>
        <v>713.98</v>
      </c>
      <c r="N165" s="147">
        <f t="shared" si="24"/>
        <v>7139.8</v>
      </c>
      <c r="O165" s="148">
        <f t="shared" si="25"/>
        <v>1285.1600000000001</v>
      </c>
    </row>
    <row r="166" spans="1:15">
      <c r="A166" s="241">
        <f t="shared" si="26"/>
        <v>25</v>
      </c>
      <c r="B166" s="336" t="s">
        <v>319</v>
      </c>
      <c r="C166" s="204"/>
      <c r="D166" s="204"/>
      <c r="E166" s="237"/>
      <c r="F166" s="248">
        <v>0.18</v>
      </c>
      <c r="G166" s="238"/>
      <c r="H166" s="319" t="s">
        <v>320</v>
      </c>
      <c r="I166" s="293" t="s">
        <v>306</v>
      </c>
      <c r="J166" s="293">
        <v>472</v>
      </c>
      <c r="K166" s="290">
        <v>927.25</v>
      </c>
      <c r="L166" s="147">
        <v>0.18</v>
      </c>
      <c r="M166" s="147">
        <f t="shared" si="23"/>
        <v>785.81</v>
      </c>
      <c r="N166" s="147">
        <f t="shared" si="24"/>
        <v>370902.32</v>
      </c>
      <c r="O166" s="148">
        <f t="shared" si="25"/>
        <v>66762.42</v>
      </c>
    </row>
    <row r="167" spans="1:15">
      <c r="A167" s="241">
        <f t="shared" si="26"/>
        <v>26</v>
      </c>
      <c r="B167" s="336" t="s">
        <v>321</v>
      </c>
      <c r="C167" s="204"/>
      <c r="D167" s="204"/>
      <c r="E167" s="237"/>
      <c r="F167" s="248">
        <v>0.18</v>
      </c>
      <c r="G167" s="238"/>
      <c r="H167" s="319" t="s">
        <v>322</v>
      </c>
      <c r="I167" s="293" t="s">
        <v>306</v>
      </c>
      <c r="J167" s="293">
        <v>658</v>
      </c>
      <c r="K167" s="290">
        <v>736.4</v>
      </c>
      <c r="L167" s="147">
        <v>0.18</v>
      </c>
      <c r="M167" s="147">
        <f t="shared" si="23"/>
        <v>624.07000000000005</v>
      </c>
      <c r="N167" s="147">
        <f t="shared" si="24"/>
        <v>410638.06</v>
      </c>
      <c r="O167" s="148">
        <f t="shared" si="25"/>
        <v>73914.850000000006</v>
      </c>
    </row>
    <row r="168" spans="1:15">
      <c r="A168" s="241">
        <f t="shared" si="26"/>
        <v>27</v>
      </c>
      <c r="B168" s="336" t="s">
        <v>323</v>
      </c>
      <c r="C168" s="204"/>
      <c r="D168" s="204"/>
      <c r="E168" s="237"/>
      <c r="F168" s="248">
        <v>0.18</v>
      </c>
      <c r="G168" s="238"/>
      <c r="H168" s="319" t="s">
        <v>324</v>
      </c>
      <c r="I168" s="293" t="s">
        <v>306</v>
      </c>
      <c r="J168" s="293">
        <v>336</v>
      </c>
      <c r="K168" s="290">
        <v>961.3</v>
      </c>
      <c r="L168" s="147">
        <v>0.18</v>
      </c>
      <c r="M168" s="147">
        <f t="shared" si="23"/>
        <v>814.66</v>
      </c>
      <c r="N168" s="147">
        <f t="shared" si="24"/>
        <v>273725.76</v>
      </c>
      <c r="O168" s="148">
        <f t="shared" si="25"/>
        <v>49270.64</v>
      </c>
    </row>
    <row r="169" spans="1:15">
      <c r="A169" s="241">
        <f t="shared" si="26"/>
        <v>28</v>
      </c>
      <c r="B169" s="336" t="s">
        <v>325</v>
      </c>
      <c r="C169" s="204"/>
      <c r="D169" s="204"/>
      <c r="E169" s="237"/>
      <c r="F169" s="248">
        <v>0.18</v>
      </c>
      <c r="G169" s="238"/>
      <c r="H169" s="319" t="s">
        <v>326</v>
      </c>
      <c r="I169" s="293" t="s">
        <v>306</v>
      </c>
      <c r="J169" s="293">
        <v>26</v>
      </c>
      <c r="K169" s="290">
        <v>764.95</v>
      </c>
      <c r="L169" s="147">
        <v>0.18</v>
      </c>
      <c r="M169" s="147">
        <f t="shared" si="23"/>
        <v>648.26</v>
      </c>
      <c r="N169" s="147">
        <f t="shared" si="24"/>
        <v>16854.759999999998</v>
      </c>
      <c r="O169" s="148">
        <f t="shared" si="25"/>
        <v>3033.86</v>
      </c>
    </row>
    <row r="170" spans="1:15">
      <c r="A170" s="241">
        <f t="shared" si="26"/>
        <v>29</v>
      </c>
      <c r="B170" s="336" t="s">
        <v>327</v>
      </c>
      <c r="C170" s="204"/>
      <c r="D170" s="204"/>
      <c r="E170" s="237"/>
      <c r="F170" s="248">
        <v>0.18</v>
      </c>
      <c r="G170" s="238"/>
      <c r="H170" s="319" t="s">
        <v>328</v>
      </c>
      <c r="I170" s="293" t="s">
        <v>306</v>
      </c>
      <c r="J170" s="293">
        <v>14</v>
      </c>
      <c r="K170" s="290">
        <v>951.1</v>
      </c>
      <c r="L170" s="147">
        <v>0.18</v>
      </c>
      <c r="M170" s="147">
        <f t="shared" si="23"/>
        <v>806.02</v>
      </c>
      <c r="N170" s="147">
        <f t="shared" si="24"/>
        <v>11284.28</v>
      </c>
      <c r="O170" s="148">
        <f t="shared" si="25"/>
        <v>2031.17</v>
      </c>
    </row>
    <row r="171" spans="1:15" ht="110.25">
      <c r="A171" s="241">
        <f t="shared" si="26"/>
        <v>30</v>
      </c>
      <c r="B171" s="336" t="s">
        <v>329</v>
      </c>
      <c r="C171" s="204"/>
      <c r="D171" s="204"/>
      <c r="E171" s="237"/>
      <c r="F171" s="248">
        <v>0.18</v>
      </c>
      <c r="G171" s="238"/>
      <c r="H171" s="319" t="s">
        <v>330</v>
      </c>
      <c r="I171" s="293" t="s">
        <v>272</v>
      </c>
      <c r="J171" s="293">
        <v>1</v>
      </c>
      <c r="K171" s="290">
        <v>20355.8</v>
      </c>
      <c r="L171" s="147">
        <v>0.18</v>
      </c>
      <c r="M171" s="147">
        <f t="shared" si="23"/>
        <v>17250.68</v>
      </c>
      <c r="N171" s="147">
        <f t="shared" si="24"/>
        <v>17250.68</v>
      </c>
      <c r="O171" s="148">
        <f t="shared" si="25"/>
        <v>3105.12</v>
      </c>
    </row>
    <row r="172" spans="1:15" ht="47.25">
      <c r="A172" s="241">
        <f t="shared" si="26"/>
        <v>31</v>
      </c>
      <c r="B172" s="336" t="s">
        <v>331</v>
      </c>
      <c r="C172" s="204"/>
      <c r="D172" s="204"/>
      <c r="E172" s="237"/>
      <c r="F172" s="248">
        <v>0.18</v>
      </c>
      <c r="G172" s="238"/>
      <c r="H172" s="319" t="s">
        <v>332</v>
      </c>
      <c r="I172" s="293" t="s">
        <v>333</v>
      </c>
      <c r="J172" s="293">
        <v>6448</v>
      </c>
      <c r="K172" s="290">
        <v>107.85</v>
      </c>
      <c r="L172" s="147">
        <v>0.18</v>
      </c>
      <c r="M172" s="147">
        <f t="shared" si="23"/>
        <v>91.4</v>
      </c>
      <c r="N172" s="147">
        <f t="shared" si="24"/>
        <v>589347.19999999995</v>
      </c>
      <c r="O172" s="148">
        <f t="shared" si="25"/>
        <v>106082.5</v>
      </c>
    </row>
    <row r="173" spans="1:15" ht="47.25">
      <c r="A173" s="241">
        <f t="shared" si="26"/>
        <v>32</v>
      </c>
      <c r="B173" s="336" t="s">
        <v>334</v>
      </c>
      <c r="C173" s="204"/>
      <c r="D173" s="204"/>
      <c r="E173" s="237"/>
      <c r="F173" s="248">
        <v>0.18</v>
      </c>
      <c r="G173" s="238"/>
      <c r="H173" s="319" t="s">
        <v>335</v>
      </c>
      <c r="I173" s="293" t="s">
        <v>333</v>
      </c>
      <c r="J173" s="293">
        <v>18980</v>
      </c>
      <c r="K173" s="290">
        <v>107.85</v>
      </c>
      <c r="L173" s="147">
        <v>0.18</v>
      </c>
      <c r="M173" s="147">
        <f t="shared" si="23"/>
        <v>91.4</v>
      </c>
      <c r="N173" s="147">
        <f t="shared" si="24"/>
        <v>1734772</v>
      </c>
      <c r="O173" s="148">
        <f t="shared" si="25"/>
        <v>312258.96000000002</v>
      </c>
    </row>
    <row r="174" spans="1:15" ht="31.5">
      <c r="A174" s="241">
        <f t="shared" si="26"/>
        <v>33</v>
      </c>
      <c r="B174" s="336" t="s">
        <v>336</v>
      </c>
      <c r="C174" s="204"/>
      <c r="D174" s="204"/>
      <c r="E174" s="237"/>
      <c r="F174" s="248"/>
      <c r="G174" s="238"/>
      <c r="H174" s="319" t="s">
        <v>337</v>
      </c>
      <c r="I174" s="293" t="s">
        <v>284</v>
      </c>
      <c r="J174" s="293">
        <v>28</v>
      </c>
      <c r="K174" s="290">
        <v>78.400000000000006</v>
      </c>
      <c r="L174" s="147">
        <v>0.18</v>
      </c>
      <c r="M174" s="147">
        <f t="shared" si="23"/>
        <v>66.44</v>
      </c>
      <c r="N174" s="147">
        <f t="shared" si="24"/>
        <v>1860.32</v>
      </c>
      <c r="O174" s="148">
        <f t="shared" si="25"/>
        <v>334.86</v>
      </c>
    </row>
    <row r="175" spans="1:15">
      <c r="A175" s="241"/>
      <c r="B175" s="292"/>
      <c r="C175" s="204"/>
      <c r="D175" s="204"/>
      <c r="E175" s="237"/>
      <c r="F175" s="248">
        <v>0.18</v>
      </c>
      <c r="G175" s="238"/>
      <c r="H175" s="288" t="s">
        <v>345</v>
      </c>
      <c r="I175" s="293"/>
      <c r="J175" s="293"/>
      <c r="K175" s="290"/>
      <c r="L175" s="147">
        <v>0.18</v>
      </c>
      <c r="M175" s="147">
        <f t="shared" si="23"/>
        <v>0</v>
      </c>
      <c r="N175" s="147">
        <f t="shared" si="24"/>
        <v>0</v>
      </c>
      <c r="O175" s="148">
        <f t="shared" si="25"/>
        <v>0</v>
      </c>
    </row>
    <row r="176" spans="1:15" ht="31.5">
      <c r="A176" s="241">
        <f>+A174+1</f>
        <v>34</v>
      </c>
      <c r="B176" s="336" t="s">
        <v>346</v>
      </c>
      <c r="C176" s="204"/>
      <c r="D176" s="204"/>
      <c r="E176" s="237"/>
      <c r="F176" s="248">
        <v>0.18</v>
      </c>
      <c r="G176" s="238"/>
      <c r="H176" s="319" t="s">
        <v>347</v>
      </c>
      <c r="I176" s="293" t="s">
        <v>306</v>
      </c>
      <c r="J176" s="293">
        <v>214</v>
      </c>
      <c r="K176" s="290">
        <v>104.8</v>
      </c>
      <c r="L176" s="147">
        <v>0.18</v>
      </c>
      <c r="M176" s="147">
        <f t="shared" si="23"/>
        <v>88.81</v>
      </c>
      <c r="N176" s="147">
        <f t="shared" si="24"/>
        <v>19005.34</v>
      </c>
      <c r="O176" s="148">
        <f t="shared" si="25"/>
        <v>3420.96</v>
      </c>
    </row>
    <row r="177" spans="1:15">
      <c r="A177" s="241"/>
      <c r="B177" s="292"/>
      <c r="C177" s="204"/>
      <c r="D177" s="204"/>
      <c r="E177" s="237"/>
      <c r="F177" s="248">
        <v>0.18</v>
      </c>
      <c r="G177" s="238"/>
      <c r="H177" s="288" t="s">
        <v>518</v>
      </c>
      <c r="I177" s="293"/>
      <c r="J177" s="293"/>
      <c r="K177" s="290"/>
      <c r="L177" s="147">
        <v>0.18</v>
      </c>
      <c r="M177" s="147">
        <f t="shared" si="23"/>
        <v>0</v>
      </c>
      <c r="N177" s="147">
        <f t="shared" si="24"/>
        <v>0</v>
      </c>
      <c r="O177" s="148">
        <f t="shared" si="25"/>
        <v>0</v>
      </c>
    </row>
    <row r="178" spans="1:15" ht="141.75">
      <c r="A178" s="241">
        <f>+A176+1</f>
        <v>35</v>
      </c>
      <c r="B178" s="336" t="s">
        <v>349</v>
      </c>
      <c r="C178" s="204"/>
      <c r="D178" s="204"/>
      <c r="E178" s="237"/>
      <c r="F178" s="248">
        <v>0.18</v>
      </c>
      <c r="G178" s="238"/>
      <c r="H178" s="319" t="s">
        <v>350</v>
      </c>
      <c r="I178" s="293" t="s">
        <v>306</v>
      </c>
      <c r="J178" s="293">
        <v>11</v>
      </c>
      <c r="K178" s="290">
        <v>5413.5</v>
      </c>
      <c r="L178" s="147">
        <v>0.18</v>
      </c>
      <c r="M178" s="147">
        <f t="shared" si="23"/>
        <v>4587.71</v>
      </c>
      <c r="N178" s="147">
        <f t="shared" si="24"/>
        <v>50464.81</v>
      </c>
      <c r="O178" s="148">
        <f t="shared" si="25"/>
        <v>9083.67</v>
      </c>
    </row>
    <row r="179" spans="1:15" ht="126">
      <c r="A179" s="241">
        <f>+A178+1</f>
        <v>36</v>
      </c>
      <c r="B179" s="336" t="s">
        <v>351</v>
      </c>
      <c r="C179" s="204"/>
      <c r="D179" s="204"/>
      <c r="E179" s="237"/>
      <c r="F179" s="248">
        <v>0.18</v>
      </c>
      <c r="G179" s="238"/>
      <c r="H179" s="319" t="s">
        <v>352</v>
      </c>
      <c r="I179" s="293" t="s">
        <v>306</v>
      </c>
      <c r="J179" s="293">
        <v>25</v>
      </c>
      <c r="K179" s="290">
        <v>5136.3</v>
      </c>
      <c r="L179" s="147">
        <v>0.18</v>
      </c>
      <c r="M179" s="147">
        <f t="shared" si="23"/>
        <v>4352.8</v>
      </c>
      <c r="N179" s="147">
        <f t="shared" si="24"/>
        <v>108820</v>
      </c>
      <c r="O179" s="148">
        <f t="shared" si="25"/>
        <v>19587.599999999999</v>
      </c>
    </row>
    <row r="180" spans="1:15" ht="47.25">
      <c r="A180" s="241">
        <f>+A179+1</f>
        <v>37</v>
      </c>
      <c r="B180" s="336" t="s">
        <v>353</v>
      </c>
      <c r="C180" s="204"/>
      <c r="D180" s="204"/>
      <c r="E180" s="237"/>
      <c r="F180" s="248">
        <v>0.18</v>
      </c>
      <c r="G180" s="238"/>
      <c r="H180" s="319" t="s">
        <v>354</v>
      </c>
      <c r="I180" s="293" t="s">
        <v>284</v>
      </c>
      <c r="J180" s="293">
        <v>98</v>
      </c>
      <c r="K180" s="290">
        <v>510.95</v>
      </c>
      <c r="L180" s="147">
        <v>0.18</v>
      </c>
      <c r="M180" s="147">
        <f t="shared" si="23"/>
        <v>433.01</v>
      </c>
      <c r="N180" s="147">
        <f t="shared" si="24"/>
        <v>42434.98</v>
      </c>
      <c r="O180" s="148">
        <f t="shared" si="25"/>
        <v>7638.3</v>
      </c>
    </row>
    <row r="181" spans="1:15" ht="47.25">
      <c r="A181" s="241">
        <f t="shared" ref="A181" si="27">+A180+1</f>
        <v>38</v>
      </c>
      <c r="B181" s="336" t="s">
        <v>355</v>
      </c>
      <c r="C181" s="204"/>
      <c r="D181" s="204"/>
      <c r="E181" s="237"/>
      <c r="F181" s="248">
        <v>0.18</v>
      </c>
      <c r="G181" s="238"/>
      <c r="H181" s="319" t="s">
        <v>356</v>
      </c>
      <c r="I181" s="325" t="s">
        <v>284</v>
      </c>
      <c r="J181" s="293">
        <v>18</v>
      </c>
      <c r="K181" s="290">
        <v>568.54999999999995</v>
      </c>
      <c r="L181" s="147">
        <v>0.18</v>
      </c>
      <c r="M181" s="147">
        <f t="shared" si="23"/>
        <v>481.82</v>
      </c>
      <c r="N181" s="147">
        <f t="shared" si="24"/>
        <v>8672.76</v>
      </c>
      <c r="O181" s="148">
        <f t="shared" si="25"/>
        <v>1561.1</v>
      </c>
    </row>
    <row r="182" spans="1:15" ht="63">
      <c r="A182" s="241">
        <f>+A181+1</f>
        <v>39</v>
      </c>
      <c r="B182" s="336" t="s">
        <v>357</v>
      </c>
      <c r="C182" s="204"/>
      <c r="D182" s="204"/>
      <c r="E182" s="237"/>
      <c r="F182" s="248">
        <v>0.18</v>
      </c>
      <c r="G182" s="238"/>
      <c r="H182" s="319" t="s">
        <v>358</v>
      </c>
      <c r="I182" s="325" t="s">
        <v>359</v>
      </c>
      <c r="J182" s="293">
        <v>9</v>
      </c>
      <c r="K182" s="290">
        <v>978.7</v>
      </c>
      <c r="L182" s="147">
        <v>0.18</v>
      </c>
      <c r="M182" s="147">
        <f t="shared" si="23"/>
        <v>829.41</v>
      </c>
      <c r="N182" s="147">
        <f t="shared" si="24"/>
        <v>7464.69</v>
      </c>
      <c r="O182" s="148">
        <f t="shared" si="25"/>
        <v>1343.64</v>
      </c>
    </row>
    <row r="183" spans="1:15">
      <c r="A183" s="241"/>
      <c r="B183" s="292"/>
      <c r="C183" s="204"/>
      <c r="D183" s="204"/>
      <c r="E183" s="237"/>
      <c r="F183" s="248">
        <v>0.18</v>
      </c>
      <c r="G183" s="238"/>
      <c r="H183" s="288" t="s">
        <v>519</v>
      </c>
      <c r="I183" s="293"/>
      <c r="J183" s="293"/>
      <c r="K183" s="290"/>
      <c r="L183" s="147">
        <v>0.18</v>
      </c>
      <c r="M183" s="147">
        <f t="shared" si="23"/>
        <v>0</v>
      </c>
      <c r="N183" s="147">
        <f t="shared" si="24"/>
        <v>0</v>
      </c>
      <c r="O183" s="148">
        <f t="shared" si="25"/>
        <v>0</v>
      </c>
    </row>
    <row r="184" spans="1:15" ht="63">
      <c r="A184" s="241">
        <f>+A182+1</f>
        <v>40</v>
      </c>
      <c r="B184" s="336" t="s">
        <v>520</v>
      </c>
      <c r="C184" s="204"/>
      <c r="D184" s="204"/>
      <c r="E184" s="237"/>
      <c r="F184" s="248">
        <v>0.18</v>
      </c>
      <c r="G184" s="238"/>
      <c r="H184" s="319" t="s">
        <v>521</v>
      </c>
      <c r="I184" s="321" t="s">
        <v>272</v>
      </c>
      <c r="J184" s="293">
        <v>0.7</v>
      </c>
      <c r="K184" s="290">
        <v>142949.70000000001</v>
      </c>
      <c r="L184" s="147">
        <v>0.18</v>
      </c>
      <c r="M184" s="147">
        <f t="shared" si="23"/>
        <v>121143.81</v>
      </c>
      <c r="N184" s="147">
        <f t="shared" si="24"/>
        <v>84800.67</v>
      </c>
      <c r="O184" s="148">
        <f t="shared" si="25"/>
        <v>15264.12</v>
      </c>
    </row>
    <row r="185" spans="1:15" ht="94.5">
      <c r="A185" s="241">
        <f t="shared" ref="A185:A189" si="28">+A184+1</f>
        <v>41</v>
      </c>
      <c r="B185" s="336" t="s">
        <v>522</v>
      </c>
      <c r="C185" s="204"/>
      <c r="D185" s="204"/>
      <c r="E185" s="237"/>
      <c r="F185" s="248">
        <v>0.18</v>
      </c>
      <c r="G185" s="238"/>
      <c r="H185" s="318" t="s">
        <v>523</v>
      </c>
      <c r="I185" s="321" t="s">
        <v>306</v>
      </c>
      <c r="J185" s="293">
        <v>5</v>
      </c>
      <c r="K185" s="290">
        <v>2241.8000000000002</v>
      </c>
      <c r="L185" s="147">
        <v>0.18</v>
      </c>
      <c r="M185" s="147">
        <f t="shared" si="23"/>
        <v>1899.83</v>
      </c>
      <c r="N185" s="147">
        <f t="shared" si="24"/>
        <v>9499.15</v>
      </c>
      <c r="O185" s="148">
        <f t="shared" si="25"/>
        <v>1709.85</v>
      </c>
    </row>
    <row r="186" spans="1:15" ht="94.5">
      <c r="A186" s="241">
        <f>+A185+1</f>
        <v>42</v>
      </c>
      <c r="B186" s="336" t="s">
        <v>524</v>
      </c>
      <c r="C186" s="204"/>
      <c r="D186" s="204"/>
      <c r="E186" s="237"/>
      <c r="F186" s="248">
        <v>0.18</v>
      </c>
      <c r="G186" s="238"/>
      <c r="H186" s="318" t="s">
        <v>525</v>
      </c>
      <c r="I186" s="321" t="s">
        <v>306</v>
      </c>
      <c r="J186" s="293">
        <v>84</v>
      </c>
      <c r="K186" s="290">
        <v>2600.4499999999998</v>
      </c>
      <c r="L186" s="147">
        <v>0.18</v>
      </c>
      <c r="M186" s="147">
        <f t="shared" si="23"/>
        <v>2203.77</v>
      </c>
      <c r="N186" s="147">
        <f t="shared" si="24"/>
        <v>185116.68</v>
      </c>
      <c r="O186" s="148">
        <f t="shared" si="25"/>
        <v>33321</v>
      </c>
    </row>
    <row r="187" spans="1:15" ht="110.25">
      <c r="A187" s="241">
        <f t="shared" si="28"/>
        <v>43</v>
      </c>
      <c r="B187" s="336" t="s">
        <v>526</v>
      </c>
      <c r="C187" s="204"/>
      <c r="D187" s="204"/>
      <c r="E187" s="237"/>
      <c r="F187" s="248">
        <v>0.18</v>
      </c>
      <c r="G187" s="238"/>
      <c r="H187" s="318" t="s">
        <v>527</v>
      </c>
      <c r="I187" s="321" t="s">
        <v>306</v>
      </c>
      <c r="J187" s="293">
        <v>6</v>
      </c>
      <c r="K187" s="290">
        <v>1800.45</v>
      </c>
      <c r="L187" s="147">
        <v>0.18</v>
      </c>
      <c r="M187" s="147">
        <f t="shared" si="23"/>
        <v>1525.81</v>
      </c>
      <c r="N187" s="147">
        <f t="shared" si="24"/>
        <v>9154.86</v>
      </c>
      <c r="O187" s="148">
        <f t="shared" si="25"/>
        <v>1647.87</v>
      </c>
    </row>
    <row r="188" spans="1:15" ht="63">
      <c r="A188" s="241">
        <f>+A187+1</f>
        <v>44</v>
      </c>
      <c r="B188" s="336" t="s">
        <v>361</v>
      </c>
      <c r="C188" s="204"/>
      <c r="D188" s="204"/>
      <c r="E188" s="237"/>
      <c r="F188" s="248">
        <v>0.18</v>
      </c>
      <c r="G188" s="238"/>
      <c r="H188" s="318" t="s">
        <v>362</v>
      </c>
      <c r="I188" s="325" t="s">
        <v>306</v>
      </c>
      <c r="J188" s="293">
        <v>5</v>
      </c>
      <c r="K188" s="290">
        <v>176.4</v>
      </c>
      <c r="L188" s="147">
        <v>0.18</v>
      </c>
      <c r="M188" s="147">
        <f t="shared" si="23"/>
        <v>149.49</v>
      </c>
      <c r="N188" s="147">
        <f t="shared" si="24"/>
        <v>747.45</v>
      </c>
      <c r="O188" s="148">
        <f t="shared" si="25"/>
        <v>134.54</v>
      </c>
    </row>
    <row r="189" spans="1:15" ht="78.75">
      <c r="A189" s="241">
        <f t="shared" si="28"/>
        <v>45</v>
      </c>
      <c r="B189" s="336" t="s">
        <v>528</v>
      </c>
      <c r="C189" s="204"/>
      <c r="D189" s="204"/>
      <c r="E189" s="237"/>
      <c r="F189" s="248">
        <v>0.18</v>
      </c>
      <c r="G189" s="238"/>
      <c r="H189" s="318" t="s">
        <v>529</v>
      </c>
      <c r="I189" s="325" t="s">
        <v>306</v>
      </c>
      <c r="J189" s="293">
        <v>23</v>
      </c>
      <c r="K189" s="290">
        <v>3473.85</v>
      </c>
      <c r="L189" s="147">
        <v>0.18</v>
      </c>
      <c r="M189" s="147">
        <f t="shared" si="23"/>
        <v>2943.94</v>
      </c>
      <c r="N189" s="147">
        <f t="shared" si="24"/>
        <v>67710.62</v>
      </c>
      <c r="O189" s="148">
        <f t="shared" si="25"/>
        <v>12187.91</v>
      </c>
    </row>
    <row r="190" spans="1:15" ht="47.25">
      <c r="A190" s="241">
        <f>+A189+1</f>
        <v>46</v>
      </c>
      <c r="B190" s="336" t="s">
        <v>530</v>
      </c>
      <c r="C190" s="204"/>
      <c r="D190" s="204"/>
      <c r="E190" s="237"/>
      <c r="F190" s="248">
        <v>0.18</v>
      </c>
      <c r="G190" s="238"/>
      <c r="H190" s="318" t="s">
        <v>531</v>
      </c>
      <c r="I190" s="325" t="s">
        <v>306</v>
      </c>
      <c r="J190" s="293">
        <v>21</v>
      </c>
      <c r="K190" s="290">
        <v>462.35</v>
      </c>
      <c r="L190" s="147">
        <v>0.18</v>
      </c>
      <c r="M190" s="147">
        <f t="shared" si="23"/>
        <v>391.82</v>
      </c>
      <c r="N190" s="147">
        <f t="shared" si="24"/>
        <v>8228.2199999999993</v>
      </c>
      <c r="O190" s="148">
        <f t="shared" si="25"/>
        <v>1481.08</v>
      </c>
    </row>
    <row r="191" spans="1:15" ht="63">
      <c r="A191" s="241">
        <f t="shared" ref="A191:A194" si="29">+A190+1</f>
        <v>47</v>
      </c>
      <c r="B191" s="336" t="s">
        <v>363</v>
      </c>
      <c r="C191" s="204"/>
      <c r="D191" s="204"/>
      <c r="E191" s="237"/>
      <c r="F191" s="248">
        <v>0.18</v>
      </c>
      <c r="G191" s="238"/>
      <c r="H191" s="319" t="s">
        <v>364</v>
      </c>
      <c r="I191" s="325" t="s">
        <v>333</v>
      </c>
      <c r="J191" s="293">
        <v>367</v>
      </c>
      <c r="K191" s="290">
        <v>238.35</v>
      </c>
      <c r="L191" s="147">
        <v>0.18</v>
      </c>
      <c r="M191" s="147">
        <f t="shared" si="23"/>
        <v>201.99</v>
      </c>
      <c r="N191" s="147">
        <f t="shared" si="24"/>
        <v>74130.33</v>
      </c>
      <c r="O191" s="148">
        <f t="shared" si="25"/>
        <v>13343.46</v>
      </c>
    </row>
    <row r="192" spans="1:15" ht="47.25">
      <c r="A192" s="241">
        <f t="shared" si="29"/>
        <v>48</v>
      </c>
      <c r="B192" s="336" t="s">
        <v>532</v>
      </c>
      <c r="C192" s="204"/>
      <c r="D192" s="204"/>
      <c r="E192" s="237"/>
      <c r="F192" s="248">
        <v>0.18</v>
      </c>
      <c r="G192" s="238"/>
      <c r="H192" s="319" t="s">
        <v>533</v>
      </c>
      <c r="I192" s="321" t="s">
        <v>359</v>
      </c>
      <c r="J192" s="293">
        <v>24</v>
      </c>
      <c r="K192" s="290">
        <v>441.6</v>
      </c>
      <c r="L192" s="147">
        <v>0.18</v>
      </c>
      <c r="M192" s="147">
        <f t="shared" si="23"/>
        <v>374.24</v>
      </c>
      <c r="N192" s="147">
        <f t="shared" si="24"/>
        <v>8981.76</v>
      </c>
      <c r="O192" s="148">
        <f t="shared" si="25"/>
        <v>1616.72</v>
      </c>
    </row>
    <row r="193" spans="1:15" ht="47.25">
      <c r="A193" s="241">
        <f t="shared" si="29"/>
        <v>49</v>
      </c>
      <c r="B193" s="336" t="s">
        <v>534</v>
      </c>
      <c r="C193" s="204"/>
      <c r="D193" s="204"/>
      <c r="E193" s="237"/>
      <c r="F193" s="248">
        <v>0.18</v>
      </c>
      <c r="G193" s="238"/>
      <c r="H193" s="319" t="s">
        <v>535</v>
      </c>
      <c r="I193" s="321" t="s">
        <v>359</v>
      </c>
      <c r="J193" s="293">
        <v>16</v>
      </c>
      <c r="K193" s="290">
        <v>287.25</v>
      </c>
      <c r="L193" s="147">
        <v>0.18</v>
      </c>
      <c r="M193" s="147">
        <f t="shared" si="23"/>
        <v>243.43</v>
      </c>
      <c r="N193" s="147">
        <f t="shared" si="24"/>
        <v>3894.88</v>
      </c>
      <c r="O193" s="148">
        <f t="shared" si="25"/>
        <v>701.08</v>
      </c>
    </row>
    <row r="194" spans="1:15" ht="47.25">
      <c r="A194" s="241">
        <f t="shared" si="29"/>
        <v>50</v>
      </c>
      <c r="B194" s="336" t="s">
        <v>536</v>
      </c>
      <c r="C194" s="204"/>
      <c r="D194" s="204"/>
      <c r="E194" s="237"/>
      <c r="F194" s="248">
        <v>0.18</v>
      </c>
      <c r="G194" s="238"/>
      <c r="H194" s="319" t="s">
        <v>537</v>
      </c>
      <c r="I194" s="321" t="s">
        <v>359</v>
      </c>
      <c r="J194" s="293">
        <v>38</v>
      </c>
      <c r="K194" s="290">
        <v>308</v>
      </c>
      <c r="L194" s="147">
        <v>0.18</v>
      </c>
      <c r="M194" s="147">
        <f t="shared" si="23"/>
        <v>261.02</v>
      </c>
      <c r="N194" s="147">
        <f t="shared" si="24"/>
        <v>9918.76</v>
      </c>
      <c r="O194" s="148">
        <f t="shared" si="25"/>
        <v>1785.38</v>
      </c>
    </row>
    <row r="195" spans="1:15" ht="47.25">
      <c r="A195" s="241">
        <f>+A194+1</f>
        <v>51</v>
      </c>
      <c r="B195" s="336" t="s">
        <v>538</v>
      </c>
      <c r="C195" s="204"/>
      <c r="D195" s="204"/>
      <c r="E195" s="237"/>
      <c r="F195" s="248">
        <v>0.18</v>
      </c>
      <c r="G195" s="238"/>
      <c r="H195" s="319" t="s">
        <v>539</v>
      </c>
      <c r="I195" s="321" t="s">
        <v>359</v>
      </c>
      <c r="J195" s="293">
        <v>12</v>
      </c>
      <c r="K195" s="290">
        <v>854.65</v>
      </c>
      <c r="L195" s="147">
        <v>0.18</v>
      </c>
      <c r="M195" s="147">
        <f t="shared" si="23"/>
        <v>724.28</v>
      </c>
      <c r="N195" s="147">
        <f t="shared" si="24"/>
        <v>8691.36</v>
      </c>
      <c r="O195" s="148">
        <f t="shared" si="25"/>
        <v>1564.44</v>
      </c>
    </row>
    <row r="196" spans="1:15" ht="31.5">
      <c r="A196" s="241">
        <f t="shared" ref="A196" si="30">+A195+1</f>
        <v>52</v>
      </c>
      <c r="B196" s="336" t="s">
        <v>540</v>
      </c>
      <c r="C196" s="204"/>
      <c r="D196" s="204"/>
      <c r="E196" s="237"/>
      <c r="F196" s="248">
        <v>0.18</v>
      </c>
      <c r="G196" s="238"/>
      <c r="H196" s="319" t="s">
        <v>541</v>
      </c>
      <c r="I196" s="325" t="s">
        <v>359</v>
      </c>
      <c r="J196" s="293">
        <v>38</v>
      </c>
      <c r="K196" s="290">
        <v>256.64999999999998</v>
      </c>
      <c r="L196" s="147">
        <v>0.18</v>
      </c>
      <c r="M196" s="147">
        <f t="shared" si="23"/>
        <v>217.5</v>
      </c>
      <c r="N196" s="147">
        <f t="shared" si="24"/>
        <v>8265</v>
      </c>
      <c r="O196" s="148">
        <f t="shared" si="25"/>
        <v>1487.7</v>
      </c>
    </row>
    <row r="197" spans="1:15" ht="31.5">
      <c r="A197" s="241">
        <f>+A196+1</f>
        <v>53</v>
      </c>
      <c r="B197" s="336" t="s">
        <v>542</v>
      </c>
      <c r="C197" s="204"/>
      <c r="D197" s="204"/>
      <c r="E197" s="237"/>
      <c r="F197" s="248">
        <v>0.18</v>
      </c>
      <c r="G197" s="238"/>
      <c r="H197" s="319" t="s">
        <v>543</v>
      </c>
      <c r="I197" s="325" t="s">
        <v>359</v>
      </c>
      <c r="J197" s="293">
        <v>12</v>
      </c>
      <c r="K197" s="290">
        <v>121.65</v>
      </c>
      <c r="L197" s="147">
        <v>0.18</v>
      </c>
      <c r="M197" s="147">
        <f t="shared" si="23"/>
        <v>103.09</v>
      </c>
      <c r="N197" s="147">
        <f t="shared" si="24"/>
        <v>1237.08</v>
      </c>
      <c r="O197" s="148">
        <f t="shared" si="25"/>
        <v>222.67</v>
      </c>
    </row>
    <row r="198" spans="1:15" ht="78.75">
      <c r="A198" s="241">
        <f t="shared" ref="A198" si="31">+A197+1</f>
        <v>54</v>
      </c>
      <c r="B198" s="336" t="s">
        <v>544</v>
      </c>
      <c r="C198" s="204"/>
      <c r="D198" s="204"/>
      <c r="E198" s="237"/>
      <c r="F198" s="248">
        <v>0.18</v>
      </c>
      <c r="G198" s="238"/>
      <c r="H198" s="319" t="s">
        <v>545</v>
      </c>
      <c r="I198" s="325" t="s">
        <v>359</v>
      </c>
      <c r="J198" s="293">
        <v>1</v>
      </c>
      <c r="K198" s="290">
        <v>983.15</v>
      </c>
      <c r="L198" s="147">
        <v>0.18</v>
      </c>
      <c r="M198" s="147">
        <f t="shared" si="23"/>
        <v>833.18</v>
      </c>
      <c r="N198" s="147">
        <f t="shared" si="24"/>
        <v>833.18</v>
      </c>
      <c r="O198" s="148">
        <f t="shared" si="25"/>
        <v>149.97</v>
      </c>
    </row>
    <row r="199" spans="1:15" ht="47.25">
      <c r="A199" s="241">
        <f>+A198+1</f>
        <v>55</v>
      </c>
      <c r="B199" s="336" t="s">
        <v>546</v>
      </c>
      <c r="C199" s="204"/>
      <c r="D199" s="204"/>
      <c r="E199" s="237"/>
      <c r="F199" s="248">
        <v>0.18</v>
      </c>
      <c r="G199" s="238"/>
      <c r="H199" s="319" t="s">
        <v>547</v>
      </c>
      <c r="I199" s="325" t="s">
        <v>359</v>
      </c>
      <c r="J199" s="293">
        <v>32</v>
      </c>
      <c r="K199" s="290">
        <v>39.700000000000003</v>
      </c>
      <c r="L199" s="147">
        <v>0.18</v>
      </c>
      <c r="M199" s="147">
        <f t="shared" si="23"/>
        <v>33.64</v>
      </c>
      <c r="N199" s="147">
        <f t="shared" si="24"/>
        <v>1076.48</v>
      </c>
      <c r="O199" s="148">
        <f t="shared" si="25"/>
        <v>193.77</v>
      </c>
    </row>
    <row r="200" spans="1:15" ht="110.25">
      <c r="A200" s="241">
        <f t="shared" ref="A200" si="32">+A199+1</f>
        <v>56</v>
      </c>
      <c r="B200" s="336" t="s">
        <v>548</v>
      </c>
      <c r="C200" s="204"/>
      <c r="D200" s="204"/>
      <c r="E200" s="237"/>
      <c r="F200" s="248">
        <v>0.18</v>
      </c>
      <c r="G200" s="238"/>
      <c r="H200" s="319" t="s">
        <v>549</v>
      </c>
      <c r="I200" s="325" t="s">
        <v>306</v>
      </c>
      <c r="J200" s="293">
        <v>14</v>
      </c>
      <c r="K200" s="290">
        <v>2307.35</v>
      </c>
      <c r="L200" s="147">
        <v>0.18</v>
      </c>
      <c r="M200" s="147">
        <f t="shared" si="23"/>
        <v>1955.38</v>
      </c>
      <c r="N200" s="147">
        <f t="shared" si="24"/>
        <v>27375.32</v>
      </c>
      <c r="O200" s="148">
        <f t="shared" si="25"/>
        <v>4927.5600000000004</v>
      </c>
    </row>
    <row r="201" spans="1:15" ht="409.5">
      <c r="A201" s="241">
        <f>+A200+1</f>
        <v>57</v>
      </c>
      <c r="B201" s="336" t="s">
        <v>550</v>
      </c>
      <c r="C201" s="204"/>
      <c r="D201" s="204"/>
      <c r="E201" s="237"/>
      <c r="F201" s="248">
        <v>0.18</v>
      </c>
      <c r="G201" s="238"/>
      <c r="H201" s="319" t="s">
        <v>551</v>
      </c>
      <c r="I201" s="321" t="s">
        <v>306</v>
      </c>
      <c r="J201" s="293">
        <v>3</v>
      </c>
      <c r="K201" s="290">
        <v>10874.2</v>
      </c>
      <c r="L201" s="147">
        <v>0.18</v>
      </c>
      <c r="M201" s="147">
        <f t="shared" si="23"/>
        <v>9215.42</v>
      </c>
      <c r="N201" s="147">
        <f t="shared" si="24"/>
        <v>27646.26</v>
      </c>
      <c r="O201" s="148">
        <f t="shared" si="25"/>
        <v>4976.33</v>
      </c>
    </row>
    <row r="202" spans="1:15" ht="409.5">
      <c r="A202" s="241">
        <f>+A201+1</f>
        <v>58</v>
      </c>
      <c r="B202" s="336" t="s">
        <v>552</v>
      </c>
      <c r="C202" s="204"/>
      <c r="D202" s="204"/>
      <c r="E202" s="237"/>
      <c r="F202" s="248">
        <v>0.18</v>
      </c>
      <c r="G202" s="238"/>
      <c r="H202" s="319" t="s">
        <v>553</v>
      </c>
      <c r="I202" s="321" t="s">
        <v>306</v>
      </c>
      <c r="J202" s="293">
        <v>12</v>
      </c>
      <c r="K202" s="290">
        <v>12372.25</v>
      </c>
      <c r="L202" s="147">
        <v>0.18</v>
      </c>
      <c r="M202" s="147">
        <f t="shared" ref="M202:M244" si="33">ROUND(K202/(1+L202),2)</f>
        <v>10484.959999999999</v>
      </c>
      <c r="N202" s="147">
        <f t="shared" ref="N202:N244" si="34">ROUND(M202*J202,2)</f>
        <v>125819.52</v>
      </c>
      <c r="O202" s="148">
        <f t="shared" ref="O202:O244" si="35">ROUND(N202*18%,2)</f>
        <v>22647.51</v>
      </c>
    </row>
    <row r="203" spans="1:15" ht="409.5">
      <c r="A203" s="241">
        <f t="shared" ref="A203" si="36">+A202+1</f>
        <v>59</v>
      </c>
      <c r="B203" s="336" t="s">
        <v>554</v>
      </c>
      <c r="C203" s="204"/>
      <c r="D203" s="204"/>
      <c r="E203" s="237"/>
      <c r="F203" s="248">
        <v>0.18</v>
      </c>
      <c r="G203" s="238"/>
      <c r="H203" s="319" t="s">
        <v>555</v>
      </c>
      <c r="I203" s="321" t="s">
        <v>306</v>
      </c>
      <c r="J203" s="293">
        <v>31</v>
      </c>
      <c r="K203" s="290">
        <v>9894.7999999999993</v>
      </c>
      <c r="L203" s="147">
        <v>0.18</v>
      </c>
      <c r="M203" s="147">
        <f t="shared" si="33"/>
        <v>8385.42</v>
      </c>
      <c r="N203" s="147">
        <f t="shared" si="34"/>
        <v>259948.02</v>
      </c>
      <c r="O203" s="148">
        <f t="shared" si="35"/>
        <v>46790.64</v>
      </c>
    </row>
    <row r="204" spans="1:15" ht="409.5">
      <c r="A204" s="241">
        <f>+A203+1</f>
        <v>60</v>
      </c>
      <c r="B204" s="336" t="s">
        <v>556</v>
      </c>
      <c r="C204" s="204"/>
      <c r="D204" s="204"/>
      <c r="E204" s="237"/>
      <c r="F204" s="248">
        <v>0.18</v>
      </c>
      <c r="G204" s="238"/>
      <c r="H204" s="319" t="s">
        <v>557</v>
      </c>
      <c r="I204" s="321" t="s">
        <v>306</v>
      </c>
      <c r="J204" s="293">
        <v>5</v>
      </c>
      <c r="K204" s="290">
        <v>7827.75</v>
      </c>
      <c r="L204" s="147">
        <v>0.18</v>
      </c>
      <c r="M204" s="147">
        <f t="shared" si="33"/>
        <v>6633.69</v>
      </c>
      <c r="N204" s="147">
        <f t="shared" si="34"/>
        <v>33168.449999999997</v>
      </c>
      <c r="O204" s="148">
        <f t="shared" si="35"/>
        <v>5970.32</v>
      </c>
    </row>
    <row r="205" spans="1:15" ht="409.5">
      <c r="A205" s="241">
        <f t="shared" ref="A205:A206" si="37">+A204+1</f>
        <v>61</v>
      </c>
      <c r="B205" s="336" t="s">
        <v>558</v>
      </c>
      <c r="C205" s="204"/>
      <c r="D205" s="204"/>
      <c r="E205" s="237"/>
      <c r="F205" s="248">
        <v>0.18</v>
      </c>
      <c r="G205" s="238"/>
      <c r="H205" s="319" t="s">
        <v>559</v>
      </c>
      <c r="I205" s="321" t="s">
        <v>306</v>
      </c>
      <c r="J205" s="293">
        <v>21</v>
      </c>
      <c r="K205" s="290">
        <v>6528.8</v>
      </c>
      <c r="L205" s="147">
        <v>0.18</v>
      </c>
      <c r="M205" s="147">
        <f t="shared" si="33"/>
        <v>5532.88</v>
      </c>
      <c r="N205" s="147">
        <f t="shared" si="34"/>
        <v>116190.48</v>
      </c>
      <c r="O205" s="148">
        <f t="shared" si="35"/>
        <v>20914.29</v>
      </c>
    </row>
    <row r="206" spans="1:15" ht="47.25">
      <c r="A206" s="241">
        <f t="shared" si="37"/>
        <v>62</v>
      </c>
      <c r="B206" s="336" t="s">
        <v>560</v>
      </c>
      <c r="C206" s="204"/>
      <c r="D206" s="204"/>
      <c r="E206" s="237"/>
      <c r="F206" s="248">
        <v>0.18</v>
      </c>
      <c r="G206" s="238"/>
      <c r="H206" s="319" t="s">
        <v>561</v>
      </c>
      <c r="I206" s="321" t="s">
        <v>359</v>
      </c>
      <c r="J206" s="293">
        <v>32</v>
      </c>
      <c r="K206" s="290">
        <v>90.45</v>
      </c>
      <c r="L206" s="147">
        <v>0.18</v>
      </c>
      <c r="M206" s="147">
        <f t="shared" si="33"/>
        <v>76.650000000000006</v>
      </c>
      <c r="N206" s="147">
        <f t="shared" si="34"/>
        <v>2452.8000000000002</v>
      </c>
      <c r="O206" s="148">
        <f t="shared" si="35"/>
        <v>441.5</v>
      </c>
    </row>
    <row r="207" spans="1:15">
      <c r="A207" s="241"/>
      <c r="B207" s="292"/>
      <c r="C207" s="204"/>
      <c r="D207" s="204"/>
      <c r="E207" s="237"/>
      <c r="F207" s="248">
        <v>0.18</v>
      </c>
      <c r="G207" s="238"/>
      <c r="H207" s="288" t="s">
        <v>379</v>
      </c>
      <c r="I207" s="293"/>
      <c r="J207" s="293"/>
      <c r="K207" s="290"/>
      <c r="L207" s="146"/>
      <c r="M207" s="147">
        <f t="shared" si="33"/>
        <v>0</v>
      </c>
      <c r="N207" s="147">
        <f t="shared" si="34"/>
        <v>0</v>
      </c>
      <c r="O207" s="148">
        <f t="shared" si="35"/>
        <v>0</v>
      </c>
    </row>
    <row r="208" spans="1:15" ht="78.75">
      <c r="A208" s="241">
        <f>+A206+1</f>
        <v>63</v>
      </c>
      <c r="B208" s="336" t="s">
        <v>382</v>
      </c>
      <c r="C208" s="204"/>
      <c r="D208" s="204"/>
      <c r="E208" s="237"/>
      <c r="F208" s="248">
        <v>0.18</v>
      </c>
      <c r="G208" s="238"/>
      <c r="H208" s="319" t="s">
        <v>562</v>
      </c>
      <c r="I208" s="321" t="s">
        <v>333</v>
      </c>
      <c r="J208" s="293">
        <v>456</v>
      </c>
      <c r="K208" s="290">
        <v>172.6</v>
      </c>
      <c r="L208" s="147">
        <v>0.18</v>
      </c>
      <c r="M208" s="147">
        <f t="shared" si="33"/>
        <v>146.27000000000001</v>
      </c>
      <c r="N208" s="147">
        <f t="shared" si="34"/>
        <v>66699.12</v>
      </c>
      <c r="O208" s="148">
        <f t="shared" si="35"/>
        <v>12005.84</v>
      </c>
    </row>
    <row r="209" spans="1:15" ht="141.75">
      <c r="A209" s="241">
        <f>+A208+1</f>
        <v>64</v>
      </c>
      <c r="B209" s="336" t="s">
        <v>384</v>
      </c>
      <c r="C209" s="204"/>
      <c r="D209" s="204"/>
      <c r="E209" s="237"/>
      <c r="F209" s="248">
        <v>0.18</v>
      </c>
      <c r="G209" s="238"/>
      <c r="H209" s="319" t="s">
        <v>385</v>
      </c>
      <c r="I209" s="321" t="s">
        <v>333</v>
      </c>
      <c r="J209" s="293">
        <v>640</v>
      </c>
      <c r="K209" s="290">
        <v>772.4</v>
      </c>
      <c r="L209" s="147">
        <v>0.18</v>
      </c>
      <c r="M209" s="147">
        <f t="shared" si="33"/>
        <v>654.58000000000004</v>
      </c>
      <c r="N209" s="147">
        <f t="shared" si="34"/>
        <v>418931.20000000001</v>
      </c>
      <c r="O209" s="148">
        <f t="shared" si="35"/>
        <v>75407.62</v>
      </c>
    </row>
    <row r="210" spans="1:15">
      <c r="A210" s="241"/>
      <c r="B210" s="292"/>
      <c r="C210" s="204"/>
      <c r="D210" s="204"/>
      <c r="E210" s="237"/>
      <c r="F210" s="248">
        <v>0.18</v>
      </c>
      <c r="G210" s="238"/>
      <c r="H210" s="288" t="s">
        <v>563</v>
      </c>
      <c r="I210" s="293"/>
      <c r="J210" s="293"/>
      <c r="K210" s="290"/>
      <c r="L210" s="147">
        <v>0.18</v>
      </c>
      <c r="M210" s="147">
        <f t="shared" si="33"/>
        <v>0</v>
      </c>
      <c r="N210" s="147">
        <f t="shared" si="34"/>
        <v>0</v>
      </c>
      <c r="O210" s="148">
        <f t="shared" si="35"/>
        <v>0</v>
      </c>
    </row>
    <row r="211" spans="1:15" ht="63">
      <c r="A211" s="241">
        <f>+A209+1</f>
        <v>65</v>
      </c>
      <c r="B211" s="336" t="s">
        <v>564</v>
      </c>
      <c r="C211" s="204"/>
      <c r="D211" s="204"/>
      <c r="E211" s="237"/>
      <c r="F211" s="248">
        <v>0.18</v>
      </c>
      <c r="G211" s="238"/>
      <c r="H211" s="319" t="s">
        <v>565</v>
      </c>
      <c r="I211" s="325" t="s">
        <v>306</v>
      </c>
      <c r="J211" s="293">
        <v>80</v>
      </c>
      <c r="K211" s="290">
        <v>2428.6</v>
      </c>
      <c r="L211" s="147">
        <v>0.18</v>
      </c>
      <c r="M211" s="147">
        <f t="shared" si="33"/>
        <v>2058.14</v>
      </c>
      <c r="N211" s="147">
        <f t="shared" si="34"/>
        <v>164651.20000000001</v>
      </c>
      <c r="O211" s="148">
        <f t="shared" si="35"/>
        <v>29637.22</v>
      </c>
    </row>
    <row r="212" spans="1:15">
      <c r="A212" s="241">
        <f t="shared" ref="A212:A270" si="38">+A211+1</f>
        <v>66</v>
      </c>
      <c r="B212" s="336" t="s">
        <v>566</v>
      </c>
      <c r="C212" s="204"/>
      <c r="D212" s="204"/>
      <c r="E212" s="237"/>
      <c r="F212" s="248">
        <v>0.18</v>
      </c>
      <c r="G212" s="238"/>
      <c r="H212" s="319" t="s">
        <v>567</v>
      </c>
      <c r="I212" s="325" t="s">
        <v>284</v>
      </c>
      <c r="J212" s="293">
        <v>69</v>
      </c>
      <c r="K212" s="290">
        <v>719.9</v>
      </c>
      <c r="L212" s="147">
        <v>0.18</v>
      </c>
      <c r="M212" s="147">
        <f t="shared" si="33"/>
        <v>610.08000000000004</v>
      </c>
      <c r="N212" s="147">
        <f t="shared" si="34"/>
        <v>42095.519999999997</v>
      </c>
      <c r="O212" s="148">
        <f t="shared" si="35"/>
        <v>7577.19</v>
      </c>
    </row>
    <row r="213" spans="1:15" ht="31.5">
      <c r="A213" s="241">
        <f t="shared" si="38"/>
        <v>67</v>
      </c>
      <c r="B213" s="336" t="s">
        <v>568</v>
      </c>
      <c r="C213" s="204"/>
      <c r="D213" s="204"/>
      <c r="E213" s="237"/>
      <c r="F213" s="248">
        <v>0.18</v>
      </c>
      <c r="G213" s="238"/>
      <c r="H213" s="319" t="s">
        <v>569</v>
      </c>
      <c r="I213" s="325" t="s">
        <v>306</v>
      </c>
      <c r="J213" s="293">
        <v>33</v>
      </c>
      <c r="K213" s="290">
        <v>851.8</v>
      </c>
      <c r="L213" s="147">
        <v>0.18</v>
      </c>
      <c r="M213" s="147">
        <f t="shared" si="33"/>
        <v>721.86</v>
      </c>
      <c r="N213" s="147">
        <f t="shared" si="34"/>
        <v>23821.38</v>
      </c>
      <c r="O213" s="148">
        <f t="shared" si="35"/>
        <v>4287.8500000000004</v>
      </c>
    </row>
    <row r="214" spans="1:15" ht="94.5">
      <c r="A214" s="241">
        <f t="shared" si="38"/>
        <v>68</v>
      </c>
      <c r="B214" s="336" t="s">
        <v>389</v>
      </c>
      <c r="C214" s="204"/>
      <c r="D214" s="204"/>
      <c r="E214" s="237"/>
      <c r="F214" s="248">
        <v>0.18</v>
      </c>
      <c r="G214" s="238"/>
      <c r="H214" s="318" t="s">
        <v>390</v>
      </c>
      <c r="I214" s="325" t="s">
        <v>306</v>
      </c>
      <c r="J214" s="293">
        <v>22</v>
      </c>
      <c r="K214" s="290">
        <v>1096.55</v>
      </c>
      <c r="L214" s="147">
        <v>0.18</v>
      </c>
      <c r="M214" s="147">
        <f t="shared" si="33"/>
        <v>929.28</v>
      </c>
      <c r="N214" s="147">
        <f t="shared" si="34"/>
        <v>20444.16</v>
      </c>
      <c r="O214" s="148">
        <f t="shared" si="35"/>
        <v>3679.95</v>
      </c>
    </row>
    <row r="215" spans="1:15" ht="110.25">
      <c r="A215" s="241">
        <f t="shared" ref="A215" si="39">+A213+1</f>
        <v>68</v>
      </c>
      <c r="B215" s="336" t="s">
        <v>391</v>
      </c>
      <c r="C215" s="204"/>
      <c r="D215" s="204"/>
      <c r="E215" s="237"/>
      <c r="F215" s="248">
        <v>0.18</v>
      </c>
      <c r="G215" s="238"/>
      <c r="H215" s="318" t="s">
        <v>392</v>
      </c>
      <c r="I215" s="325" t="s">
        <v>306</v>
      </c>
      <c r="J215" s="293">
        <v>140</v>
      </c>
      <c r="K215" s="290">
        <v>1112.7</v>
      </c>
      <c r="L215" s="147">
        <v>0.18</v>
      </c>
      <c r="M215" s="147">
        <f t="shared" si="33"/>
        <v>942.97</v>
      </c>
      <c r="N215" s="147">
        <f t="shared" si="34"/>
        <v>132015.79999999999</v>
      </c>
      <c r="O215" s="148">
        <f t="shared" si="35"/>
        <v>23762.84</v>
      </c>
    </row>
    <row r="216" spans="1:15" ht="173.25">
      <c r="A216" s="241">
        <f t="shared" si="38"/>
        <v>69</v>
      </c>
      <c r="B216" s="336" t="s">
        <v>393</v>
      </c>
      <c r="C216" s="204"/>
      <c r="D216" s="204"/>
      <c r="E216" s="237"/>
      <c r="F216" s="248">
        <v>0.18</v>
      </c>
      <c r="G216" s="238"/>
      <c r="H216" s="319" t="s">
        <v>394</v>
      </c>
      <c r="I216" s="325" t="s">
        <v>306</v>
      </c>
      <c r="J216" s="293">
        <v>267</v>
      </c>
      <c r="K216" s="290">
        <v>1502.75</v>
      </c>
      <c r="L216" s="147">
        <v>0.18</v>
      </c>
      <c r="M216" s="147">
        <f t="shared" si="33"/>
        <v>1273.52</v>
      </c>
      <c r="N216" s="147">
        <f t="shared" si="34"/>
        <v>340029.84</v>
      </c>
      <c r="O216" s="148">
        <f t="shared" si="35"/>
        <v>61205.37</v>
      </c>
    </row>
    <row r="217" spans="1:15" ht="173.25">
      <c r="A217" s="241">
        <f t="shared" si="38"/>
        <v>70</v>
      </c>
      <c r="B217" s="336" t="s">
        <v>570</v>
      </c>
      <c r="C217" s="204"/>
      <c r="D217" s="204"/>
      <c r="E217" s="237"/>
      <c r="F217" s="248">
        <v>0.18</v>
      </c>
      <c r="G217" s="238"/>
      <c r="H217" s="319" t="s">
        <v>571</v>
      </c>
      <c r="I217" s="325" t="s">
        <v>306</v>
      </c>
      <c r="J217" s="321">
        <v>57</v>
      </c>
      <c r="K217" s="290">
        <v>1464.85</v>
      </c>
      <c r="L217" s="147">
        <v>0.18</v>
      </c>
      <c r="M217" s="147">
        <f t="shared" si="33"/>
        <v>1241.4000000000001</v>
      </c>
      <c r="N217" s="147">
        <f t="shared" si="34"/>
        <v>70759.8</v>
      </c>
      <c r="O217" s="148">
        <f t="shared" si="35"/>
        <v>12736.76</v>
      </c>
    </row>
    <row r="218" spans="1:15" ht="141.75">
      <c r="A218" s="241">
        <f t="shared" si="38"/>
        <v>71</v>
      </c>
      <c r="B218" s="336" t="s">
        <v>397</v>
      </c>
      <c r="C218" s="204"/>
      <c r="D218" s="204"/>
      <c r="E218" s="237"/>
      <c r="F218" s="248">
        <v>0.18</v>
      </c>
      <c r="G218" s="238"/>
      <c r="H218" s="319" t="s">
        <v>398</v>
      </c>
      <c r="I218" s="325" t="s">
        <v>306</v>
      </c>
      <c r="J218" s="321">
        <v>22</v>
      </c>
      <c r="K218" s="290">
        <v>3186.7</v>
      </c>
      <c r="L218" s="147">
        <v>0.18</v>
      </c>
      <c r="M218" s="147">
        <f t="shared" si="33"/>
        <v>2700.59</v>
      </c>
      <c r="N218" s="147">
        <f t="shared" si="34"/>
        <v>59412.98</v>
      </c>
      <c r="O218" s="148">
        <f t="shared" si="35"/>
        <v>10694.34</v>
      </c>
    </row>
    <row r="219" spans="1:15">
      <c r="A219" s="241"/>
      <c r="B219" s="292"/>
      <c r="C219" s="204"/>
      <c r="D219" s="204"/>
      <c r="E219" s="237"/>
      <c r="F219" s="248">
        <v>0.18</v>
      </c>
      <c r="G219" s="238"/>
      <c r="H219" s="288" t="s">
        <v>401</v>
      </c>
      <c r="I219" s="293"/>
      <c r="J219" s="293"/>
      <c r="K219" s="290"/>
      <c r="L219" s="147">
        <v>0.18</v>
      </c>
      <c r="M219" s="147">
        <f t="shared" si="33"/>
        <v>0</v>
      </c>
      <c r="N219" s="147">
        <f t="shared" si="34"/>
        <v>0</v>
      </c>
      <c r="O219" s="148">
        <f t="shared" si="35"/>
        <v>0</v>
      </c>
    </row>
    <row r="220" spans="1:15" ht="63">
      <c r="A220" s="241">
        <f>+A218+1</f>
        <v>72</v>
      </c>
      <c r="B220" s="323" t="s">
        <v>572</v>
      </c>
      <c r="C220" s="204"/>
      <c r="D220" s="204"/>
      <c r="E220" s="237"/>
      <c r="F220" s="248">
        <v>0.18</v>
      </c>
      <c r="G220" s="238"/>
      <c r="H220" s="319" t="s">
        <v>573</v>
      </c>
      <c r="I220" s="325" t="s">
        <v>284</v>
      </c>
      <c r="J220" s="321">
        <v>98</v>
      </c>
      <c r="K220" s="290">
        <v>305.14999999999998</v>
      </c>
      <c r="L220" s="147">
        <v>0.18</v>
      </c>
      <c r="M220" s="147">
        <f t="shared" si="33"/>
        <v>258.60000000000002</v>
      </c>
      <c r="N220" s="147">
        <f t="shared" si="34"/>
        <v>25342.799999999999</v>
      </c>
      <c r="O220" s="148">
        <f t="shared" si="35"/>
        <v>4561.7</v>
      </c>
    </row>
    <row r="221" spans="1:15" ht="78.75">
      <c r="A221" s="241">
        <f t="shared" si="38"/>
        <v>73</v>
      </c>
      <c r="B221" s="323" t="s">
        <v>574</v>
      </c>
      <c r="C221" s="204"/>
      <c r="D221" s="204"/>
      <c r="E221" s="237"/>
      <c r="F221" s="248">
        <v>0.18</v>
      </c>
      <c r="G221" s="238"/>
      <c r="H221" s="319" t="s">
        <v>575</v>
      </c>
      <c r="I221" s="325" t="s">
        <v>359</v>
      </c>
      <c r="J221" s="321">
        <v>7</v>
      </c>
      <c r="K221" s="290">
        <v>298.25</v>
      </c>
      <c r="L221" s="147">
        <v>0.18</v>
      </c>
      <c r="M221" s="147">
        <f t="shared" si="33"/>
        <v>252.75</v>
      </c>
      <c r="N221" s="147">
        <f t="shared" si="34"/>
        <v>1769.25</v>
      </c>
      <c r="O221" s="148">
        <f t="shared" si="35"/>
        <v>318.47000000000003</v>
      </c>
    </row>
    <row r="222" spans="1:15" ht="63">
      <c r="A222" s="241">
        <f t="shared" si="38"/>
        <v>74</v>
      </c>
      <c r="B222" s="323" t="s">
        <v>402</v>
      </c>
      <c r="C222" s="204"/>
      <c r="D222" s="204"/>
      <c r="E222" s="237"/>
      <c r="F222" s="248">
        <v>0.18</v>
      </c>
      <c r="G222" s="238"/>
      <c r="H222" s="319" t="s">
        <v>403</v>
      </c>
      <c r="I222" s="325" t="s">
        <v>284</v>
      </c>
      <c r="J222" s="321">
        <v>39</v>
      </c>
      <c r="K222" s="290">
        <v>377.4</v>
      </c>
      <c r="L222" s="147">
        <v>0.18</v>
      </c>
      <c r="M222" s="147">
        <f t="shared" si="33"/>
        <v>319.83</v>
      </c>
      <c r="N222" s="147">
        <f t="shared" si="34"/>
        <v>12473.37</v>
      </c>
      <c r="O222" s="148">
        <f t="shared" si="35"/>
        <v>2245.21</v>
      </c>
    </row>
    <row r="223" spans="1:15" ht="63">
      <c r="A223" s="241">
        <f t="shared" ref="A223" si="40">+A221+1</f>
        <v>74</v>
      </c>
      <c r="B223" s="336" t="s">
        <v>404</v>
      </c>
      <c r="C223" s="204"/>
      <c r="D223" s="204"/>
      <c r="E223" s="237"/>
      <c r="F223" s="248">
        <v>0.18</v>
      </c>
      <c r="G223" s="238"/>
      <c r="H223" s="319" t="s">
        <v>405</v>
      </c>
      <c r="I223" s="325"/>
      <c r="J223" s="321"/>
      <c r="K223" s="290"/>
      <c r="L223" s="147">
        <v>0.18</v>
      </c>
      <c r="M223" s="147">
        <f t="shared" si="33"/>
        <v>0</v>
      </c>
      <c r="N223" s="147">
        <f t="shared" si="34"/>
        <v>0</v>
      </c>
      <c r="O223" s="148">
        <f t="shared" si="35"/>
        <v>0</v>
      </c>
    </row>
    <row r="224" spans="1:15">
      <c r="A224" s="241">
        <f t="shared" si="38"/>
        <v>75</v>
      </c>
      <c r="B224" s="336" t="s">
        <v>406</v>
      </c>
      <c r="C224" s="204"/>
      <c r="D224" s="204"/>
      <c r="E224" s="237"/>
      <c r="F224" s="248">
        <v>0.18</v>
      </c>
      <c r="G224" s="238"/>
      <c r="H224" s="319" t="s">
        <v>407</v>
      </c>
      <c r="I224" s="325" t="s">
        <v>359</v>
      </c>
      <c r="J224" s="321">
        <v>14</v>
      </c>
      <c r="K224" s="290">
        <v>136.15</v>
      </c>
      <c r="L224" s="147">
        <v>0.18</v>
      </c>
      <c r="M224" s="147">
        <f t="shared" si="33"/>
        <v>115.38</v>
      </c>
      <c r="N224" s="147">
        <f t="shared" si="34"/>
        <v>1615.32</v>
      </c>
      <c r="O224" s="148">
        <f t="shared" si="35"/>
        <v>290.76</v>
      </c>
    </row>
    <row r="225" spans="1:15">
      <c r="A225" s="241">
        <f t="shared" si="38"/>
        <v>76</v>
      </c>
      <c r="B225" s="336" t="s">
        <v>408</v>
      </c>
      <c r="C225" s="204"/>
      <c r="D225" s="204"/>
      <c r="E225" s="237"/>
      <c r="F225" s="248">
        <v>0.18</v>
      </c>
      <c r="G225" s="238"/>
      <c r="H225" s="319" t="s">
        <v>409</v>
      </c>
      <c r="I225" s="325" t="s">
        <v>359</v>
      </c>
      <c r="J225" s="321">
        <v>5</v>
      </c>
      <c r="K225" s="290">
        <v>234.15</v>
      </c>
      <c r="L225" s="147">
        <v>0.18</v>
      </c>
      <c r="M225" s="147">
        <f t="shared" si="33"/>
        <v>198.43</v>
      </c>
      <c r="N225" s="147">
        <f t="shared" si="34"/>
        <v>992.15</v>
      </c>
      <c r="O225" s="148">
        <f t="shared" si="35"/>
        <v>178.59</v>
      </c>
    </row>
    <row r="226" spans="1:15">
      <c r="A226" s="241">
        <f t="shared" si="38"/>
        <v>77</v>
      </c>
      <c r="B226" s="336" t="s">
        <v>410</v>
      </c>
      <c r="C226" s="204"/>
      <c r="D226" s="204"/>
      <c r="E226" s="237"/>
      <c r="F226" s="248">
        <v>0.18</v>
      </c>
      <c r="G226" s="238"/>
      <c r="H226" s="319" t="s">
        <v>411</v>
      </c>
      <c r="I226" s="325" t="s">
        <v>359</v>
      </c>
      <c r="J226" s="321">
        <v>7</v>
      </c>
      <c r="K226" s="290">
        <v>150.35</v>
      </c>
      <c r="L226" s="147">
        <v>0.18</v>
      </c>
      <c r="M226" s="147">
        <f t="shared" si="33"/>
        <v>127.42</v>
      </c>
      <c r="N226" s="147">
        <f t="shared" si="34"/>
        <v>891.94</v>
      </c>
      <c r="O226" s="148">
        <f t="shared" si="35"/>
        <v>160.55000000000001</v>
      </c>
    </row>
    <row r="227" spans="1:15">
      <c r="A227" s="241">
        <f t="shared" ref="A227" si="41">+A225+1</f>
        <v>77</v>
      </c>
      <c r="B227" s="336" t="s">
        <v>412</v>
      </c>
      <c r="C227" s="204"/>
      <c r="D227" s="204"/>
      <c r="E227" s="237"/>
      <c r="F227" s="248">
        <v>0.18</v>
      </c>
      <c r="G227" s="238"/>
      <c r="H227" s="319" t="s">
        <v>413</v>
      </c>
      <c r="I227" s="325" t="s">
        <v>359</v>
      </c>
      <c r="J227" s="321">
        <v>7</v>
      </c>
      <c r="K227" s="290">
        <v>131.85</v>
      </c>
      <c r="L227" s="147">
        <v>0.18</v>
      </c>
      <c r="M227" s="147">
        <f t="shared" si="33"/>
        <v>111.74</v>
      </c>
      <c r="N227" s="147">
        <f t="shared" si="34"/>
        <v>782.18</v>
      </c>
      <c r="O227" s="148">
        <f t="shared" si="35"/>
        <v>140.79</v>
      </c>
    </row>
    <row r="228" spans="1:15" ht="78.75">
      <c r="A228" s="241">
        <f t="shared" si="38"/>
        <v>78</v>
      </c>
      <c r="B228" s="336" t="s">
        <v>414</v>
      </c>
      <c r="C228" s="204"/>
      <c r="D228" s="204"/>
      <c r="E228" s="237"/>
      <c r="F228" s="248">
        <v>0.18</v>
      </c>
      <c r="G228" s="238"/>
      <c r="H228" s="319" t="s">
        <v>415</v>
      </c>
      <c r="I228" s="325" t="s">
        <v>359</v>
      </c>
      <c r="J228" s="321">
        <v>30</v>
      </c>
      <c r="K228" s="290">
        <v>371.3</v>
      </c>
      <c r="L228" s="147">
        <v>0.18</v>
      </c>
      <c r="M228" s="147">
        <f t="shared" si="33"/>
        <v>314.66000000000003</v>
      </c>
      <c r="N228" s="147">
        <f t="shared" si="34"/>
        <v>9439.7999999999993</v>
      </c>
      <c r="O228" s="148">
        <f t="shared" si="35"/>
        <v>1699.16</v>
      </c>
    </row>
    <row r="229" spans="1:15" ht="409.5">
      <c r="A229" s="241">
        <f t="shared" si="38"/>
        <v>79</v>
      </c>
      <c r="B229" s="336" t="s">
        <v>416</v>
      </c>
      <c r="C229" s="204"/>
      <c r="D229" s="204"/>
      <c r="E229" s="237"/>
      <c r="F229" s="248">
        <v>0.18</v>
      </c>
      <c r="G229" s="238"/>
      <c r="H229" s="319" t="s">
        <v>417</v>
      </c>
      <c r="I229" s="325" t="s">
        <v>303</v>
      </c>
      <c r="J229" s="321">
        <v>299</v>
      </c>
      <c r="K229" s="290">
        <v>1529.1</v>
      </c>
      <c r="L229" s="147">
        <v>0.18</v>
      </c>
      <c r="M229" s="147">
        <f t="shared" si="33"/>
        <v>1295.8499999999999</v>
      </c>
      <c r="N229" s="147">
        <f t="shared" si="34"/>
        <v>387459.15</v>
      </c>
      <c r="O229" s="148">
        <f t="shared" si="35"/>
        <v>69742.649999999994</v>
      </c>
    </row>
    <row r="230" spans="1:15" ht="47.25">
      <c r="A230" s="241">
        <f t="shared" si="38"/>
        <v>80</v>
      </c>
      <c r="B230" s="336" t="s">
        <v>418</v>
      </c>
      <c r="C230" s="204"/>
      <c r="D230" s="204"/>
      <c r="E230" s="237"/>
      <c r="F230" s="248">
        <v>0.18</v>
      </c>
      <c r="G230" s="238"/>
      <c r="H230" s="319" t="s">
        <v>419</v>
      </c>
      <c r="I230" s="325" t="s">
        <v>359</v>
      </c>
      <c r="J230" s="321">
        <v>7</v>
      </c>
      <c r="K230" s="290">
        <v>84.55</v>
      </c>
      <c r="L230" s="147">
        <v>0.18</v>
      </c>
      <c r="M230" s="147">
        <f t="shared" si="33"/>
        <v>71.650000000000006</v>
      </c>
      <c r="N230" s="147">
        <f t="shared" si="34"/>
        <v>501.55</v>
      </c>
      <c r="O230" s="148">
        <f t="shared" si="35"/>
        <v>90.28</v>
      </c>
    </row>
    <row r="231" spans="1:15">
      <c r="A231" s="241"/>
      <c r="B231" s="292"/>
      <c r="C231" s="204"/>
      <c r="D231" s="204"/>
      <c r="E231" s="237"/>
      <c r="F231" s="248">
        <v>0.18</v>
      </c>
      <c r="G231" s="238"/>
      <c r="H231" s="288" t="s">
        <v>421</v>
      </c>
      <c r="I231" s="293"/>
      <c r="J231" s="293"/>
      <c r="K231" s="290"/>
      <c r="L231" s="147">
        <v>0.18</v>
      </c>
      <c r="M231" s="147">
        <f t="shared" si="33"/>
        <v>0</v>
      </c>
      <c r="N231" s="147">
        <f t="shared" si="34"/>
        <v>0</v>
      </c>
      <c r="O231" s="148">
        <f t="shared" si="35"/>
        <v>0</v>
      </c>
    </row>
    <row r="232" spans="1:15">
      <c r="A232" s="241">
        <f>+A230+1</f>
        <v>81</v>
      </c>
      <c r="B232" s="336" t="s">
        <v>422</v>
      </c>
      <c r="C232" s="204"/>
      <c r="D232" s="204"/>
      <c r="E232" s="237"/>
      <c r="F232" s="248">
        <v>0.18</v>
      </c>
      <c r="G232" s="238"/>
      <c r="H232" s="319" t="s">
        <v>423</v>
      </c>
      <c r="I232" s="325" t="s">
        <v>306</v>
      </c>
      <c r="J232" s="321">
        <v>1637</v>
      </c>
      <c r="K232" s="290">
        <v>343.65</v>
      </c>
      <c r="L232" s="147">
        <v>0.18</v>
      </c>
      <c r="M232" s="147">
        <f t="shared" si="33"/>
        <v>291.23</v>
      </c>
      <c r="N232" s="147">
        <f t="shared" si="34"/>
        <v>476743.51</v>
      </c>
      <c r="O232" s="148">
        <f t="shared" si="35"/>
        <v>85813.83</v>
      </c>
    </row>
    <row r="233" spans="1:15" ht="31.5">
      <c r="A233" s="241">
        <f t="shared" si="38"/>
        <v>82</v>
      </c>
      <c r="B233" s="336" t="s">
        <v>424</v>
      </c>
      <c r="C233" s="204"/>
      <c r="D233" s="204"/>
      <c r="E233" s="237"/>
      <c r="F233" s="248">
        <v>0.18</v>
      </c>
      <c r="G233" s="238"/>
      <c r="H233" s="319" t="s">
        <v>425</v>
      </c>
      <c r="I233" s="325" t="s">
        <v>306</v>
      </c>
      <c r="J233" s="321">
        <v>485</v>
      </c>
      <c r="K233" s="290">
        <v>395.35</v>
      </c>
      <c r="L233" s="147">
        <v>0.18</v>
      </c>
      <c r="M233" s="147">
        <f t="shared" si="33"/>
        <v>335.04</v>
      </c>
      <c r="N233" s="147">
        <f t="shared" si="34"/>
        <v>162494.39999999999</v>
      </c>
      <c r="O233" s="148">
        <f t="shared" si="35"/>
        <v>29248.99</v>
      </c>
    </row>
    <row r="234" spans="1:15" ht="31.5">
      <c r="A234" s="241">
        <f t="shared" si="38"/>
        <v>83</v>
      </c>
      <c r="B234" s="336" t="s">
        <v>426</v>
      </c>
      <c r="C234" s="204"/>
      <c r="D234" s="204"/>
      <c r="E234" s="237"/>
      <c r="F234" s="248">
        <v>0.18</v>
      </c>
      <c r="G234" s="238"/>
      <c r="H234" s="319" t="s">
        <v>427</v>
      </c>
      <c r="I234" s="325" t="s">
        <v>306</v>
      </c>
      <c r="J234" s="321">
        <v>49</v>
      </c>
      <c r="K234" s="290">
        <v>449.55</v>
      </c>
      <c r="L234" s="147">
        <v>0.18</v>
      </c>
      <c r="M234" s="147">
        <f t="shared" si="33"/>
        <v>380.97</v>
      </c>
      <c r="N234" s="147">
        <f t="shared" si="34"/>
        <v>18667.53</v>
      </c>
      <c r="O234" s="148">
        <f t="shared" si="35"/>
        <v>3360.16</v>
      </c>
    </row>
    <row r="235" spans="1:15" ht="47.25">
      <c r="A235" s="241">
        <f t="shared" ref="A235" si="42">+A233+1</f>
        <v>83</v>
      </c>
      <c r="B235" s="336" t="s">
        <v>428</v>
      </c>
      <c r="C235" s="204"/>
      <c r="D235" s="204"/>
      <c r="E235" s="237"/>
      <c r="F235" s="248">
        <v>0.18</v>
      </c>
      <c r="G235" s="238"/>
      <c r="H235" s="319" t="s">
        <v>429</v>
      </c>
      <c r="I235" s="325" t="s">
        <v>306</v>
      </c>
      <c r="J235" s="321">
        <v>716</v>
      </c>
      <c r="K235" s="290">
        <v>518.54999999999995</v>
      </c>
      <c r="L235" s="147">
        <v>0.18</v>
      </c>
      <c r="M235" s="147">
        <f t="shared" si="33"/>
        <v>439.45</v>
      </c>
      <c r="N235" s="147">
        <f t="shared" si="34"/>
        <v>314646.2</v>
      </c>
      <c r="O235" s="148">
        <f t="shared" si="35"/>
        <v>56636.32</v>
      </c>
    </row>
    <row r="236" spans="1:15" ht="31.5">
      <c r="A236" s="241">
        <f t="shared" si="38"/>
        <v>84</v>
      </c>
      <c r="B236" s="336" t="s">
        <v>430</v>
      </c>
      <c r="C236" s="204"/>
      <c r="D236" s="204"/>
      <c r="E236" s="237"/>
      <c r="F236" s="248">
        <v>0.18</v>
      </c>
      <c r="G236" s="238"/>
      <c r="H236" s="319" t="s">
        <v>576</v>
      </c>
      <c r="I236" s="325" t="s">
        <v>306</v>
      </c>
      <c r="J236" s="321">
        <v>548</v>
      </c>
      <c r="K236" s="290">
        <v>300.45</v>
      </c>
      <c r="L236" s="147">
        <v>0.18</v>
      </c>
      <c r="M236" s="147">
        <f t="shared" si="33"/>
        <v>254.62</v>
      </c>
      <c r="N236" s="147">
        <f t="shared" si="34"/>
        <v>139531.76</v>
      </c>
      <c r="O236" s="148">
        <f t="shared" si="35"/>
        <v>25115.72</v>
      </c>
    </row>
    <row r="237" spans="1:15" ht="47.25">
      <c r="A237" s="241">
        <f t="shared" si="38"/>
        <v>85</v>
      </c>
      <c r="B237" s="336" t="s">
        <v>432</v>
      </c>
      <c r="C237" s="204"/>
      <c r="D237" s="204"/>
      <c r="E237" s="237"/>
      <c r="F237" s="248">
        <v>0.18</v>
      </c>
      <c r="G237" s="238"/>
      <c r="H237" s="319" t="s">
        <v>433</v>
      </c>
      <c r="I237" s="335" t="s">
        <v>434</v>
      </c>
      <c r="J237" s="321">
        <v>90</v>
      </c>
      <c r="K237" s="290">
        <v>22.1</v>
      </c>
      <c r="L237" s="147">
        <v>0.18</v>
      </c>
      <c r="M237" s="147">
        <f t="shared" si="33"/>
        <v>18.73</v>
      </c>
      <c r="N237" s="147">
        <f t="shared" si="34"/>
        <v>1685.7</v>
      </c>
      <c r="O237" s="148">
        <f t="shared" si="35"/>
        <v>303.43</v>
      </c>
    </row>
    <row r="238" spans="1:15" ht="63">
      <c r="A238" s="241">
        <f t="shared" si="38"/>
        <v>86</v>
      </c>
      <c r="B238" s="336" t="s">
        <v>435</v>
      </c>
      <c r="C238" s="204"/>
      <c r="D238" s="204"/>
      <c r="E238" s="237"/>
      <c r="F238" s="248">
        <v>0.18</v>
      </c>
      <c r="G238" s="238"/>
      <c r="H238" s="319" t="s">
        <v>436</v>
      </c>
      <c r="I238" s="325" t="s">
        <v>306</v>
      </c>
      <c r="J238" s="321">
        <v>179</v>
      </c>
      <c r="K238" s="290">
        <v>171.1</v>
      </c>
      <c r="L238" s="147">
        <v>0.18</v>
      </c>
      <c r="M238" s="147">
        <f t="shared" si="33"/>
        <v>145</v>
      </c>
      <c r="N238" s="147">
        <f t="shared" si="34"/>
        <v>25955</v>
      </c>
      <c r="O238" s="148">
        <f t="shared" si="35"/>
        <v>4671.8999999999996</v>
      </c>
    </row>
    <row r="239" spans="1:15" ht="31.5">
      <c r="A239" s="241">
        <f t="shared" ref="A239" si="43">+A237+1</f>
        <v>86</v>
      </c>
      <c r="B239" s="336" t="s">
        <v>577</v>
      </c>
      <c r="C239" s="204"/>
      <c r="D239" s="204"/>
      <c r="E239" s="237"/>
      <c r="F239" s="248">
        <v>0.18</v>
      </c>
      <c r="G239" s="238"/>
      <c r="H239" s="319" t="s">
        <v>578</v>
      </c>
      <c r="I239" s="325" t="s">
        <v>306</v>
      </c>
      <c r="J239" s="321">
        <v>6</v>
      </c>
      <c r="K239" s="290">
        <v>70.349999999999994</v>
      </c>
      <c r="L239" s="147">
        <v>0.18</v>
      </c>
      <c r="M239" s="147">
        <f t="shared" si="33"/>
        <v>59.62</v>
      </c>
      <c r="N239" s="147">
        <f t="shared" si="34"/>
        <v>357.72</v>
      </c>
      <c r="O239" s="148">
        <f t="shared" si="35"/>
        <v>64.39</v>
      </c>
    </row>
    <row r="240" spans="1:15" ht="31.5">
      <c r="A240" s="241">
        <f t="shared" si="38"/>
        <v>87</v>
      </c>
      <c r="B240" s="336" t="s">
        <v>439</v>
      </c>
      <c r="C240" s="204"/>
      <c r="D240" s="204"/>
      <c r="E240" s="237"/>
      <c r="F240" s="248">
        <v>0.18</v>
      </c>
      <c r="G240" s="238"/>
      <c r="H240" s="319" t="s">
        <v>440</v>
      </c>
      <c r="I240" s="325" t="s">
        <v>306</v>
      </c>
      <c r="J240" s="321">
        <v>89</v>
      </c>
      <c r="K240" s="290">
        <v>155.9</v>
      </c>
      <c r="L240" s="147">
        <v>0.18</v>
      </c>
      <c r="M240" s="147">
        <f t="shared" si="33"/>
        <v>132.12</v>
      </c>
      <c r="N240" s="147">
        <f t="shared" si="34"/>
        <v>11758.68</v>
      </c>
      <c r="O240" s="148">
        <f t="shared" si="35"/>
        <v>2116.56</v>
      </c>
    </row>
    <row r="241" spans="1:15" ht="47.25">
      <c r="A241" s="241">
        <f t="shared" si="38"/>
        <v>88</v>
      </c>
      <c r="B241" s="336" t="s">
        <v>441</v>
      </c>
      <c r="C241" s="204"/>
      <c r="D241" s="204"/>
      <c r="E241" s="237"/>
      <c r="F241" s="248">
        <v>0.18</v>
      </c>
      <c r="G241" s="238"/>
      <c r="H241" s="319" t="s">
        <v>442</v>
      </c>
      <c r="I241" s="325" t="s">
        <v>306</v>
      </c>
      <c r="J241" s="321">
        <v>2412</v>
      </c>
      <c r="K241" s="290">
        <v>156.05000000000001</v>
      </c>
      <c r="L241" s="147">
        <v>0.18</v>
      </c>
      <c r="M241" s="147">
        <f t="shared" ref="M241" si="44">ROUND(K241/(1+L241),2)</f>
        <v>132.25</v>
      </c>
      <c r="N241" s="147">
        <f t="shared" ref="N241" si="45">ROUND(M241*J241,2)</f>
        <v>318987</v>
      </c>
      <c r="O241" s="362">
        <f t="shared" ref="O241" si="46">ROUND(N241*18%,2)</f>
        <v>57417.66</v>
      </c>
    </row>
    <row r="242" spans="1:15" ht="78.75">
      <c r="A242" s="241">
        <f t="shared" si="38"/>
        <v>89</v>
      </c>
      <c r="B242" s="336" t="s">
        <v>443</v>
      </c>
      <c r="C242" s="204"/>
      <c r="D242" s="204"/>
      <c r="E242" s="237"/>
      <c r="F242" s="248">
        <v>0.18</v>
      </c>
      <c r="G242" s="238"/>
      <c r="H242" s="319" t="s">
        <v>444</v>
      </c>
      <c r="I242" s="325" t="s">
        <v>306</v>
      </c>
      <c r="J242" s="321">
        <v>2412</v>
      </c>
      <c r="K242" s="290">
        <v>142.80000000000001</v>
      </c>
      <c r="L242" s="147">
        <v>0.18</v>
      </c>
      <c r="M242" s="147">
        <f t="shared" si="33"/>
        <v>121.02</v>
      </c>
      <c r="N242" s="147">
        <f t="shared" si="34"/>
        <v>291900.24</v>
      </c>
      <c r="O242" s="148">
        <f t="shared" si="35"/>
        <v>52542.04</v>
      </c>
    </row>
    <row r="243" spans="1:15" ht="63">
      <c r="A243" s="241">
        <f t="shared" ref="A243" si="47">+A241+1</f>
        <v>89</v>
      </c>
      <c r="B243" s="336" t="s">
        <v>445</v>
      </c>
      <c r="C243" s="204"/>
      <c r="D243" s="204"/>
      <c r="E243" s="237"/>
      <c r="F243" s="248">
        <v>0.18</v>
      </c>
      <c r="G243" s="238"/>
      <c r="H243" s="319" t="s">
        <v>446</v>
      </c>
      <c r="I243" s="325" t="s">
        <v>306</v>
      </c>
      <c r="J243" s="321">
        <v>2412</v>
      </c>
      <c r="K243" s="290">
        <v>73.95</v>
      </c>
      <c r="L243" s="147">
        <v>0.18</v>
      </c>
      <c r="M243" s="147">
        <f t="shared" si="33"/>
        <v>62.67</v>
      </c>
      <c r="N243" s="147">
        <f t="shared" si="34"/>
        <v>151160.04</v>
      </c>
      <c r="O243" s="148">
        <f t="shared" si="35"/>
        <v>27208.81</v>
      </c>
    </row>
    <row r="244" spans="1:15">
      <c r="A244" s="241">
        <f t="shared" si="38"/>
        <v>90</v>
      </c>
      <c r="B244" s="336" t="s">
        <v>579</v>
      </c>
      <c r="C244" s="204"/>
      <c r="D244" s="204"/>
      <c r="E244" s="237"/>
      <c r="F244" s="248">
        <v>0.18</v>
      </c>
      <c r="G244" s="238"/>
      <c r="H244" s="319" t="s">
        <v>580</v>
      </c>
      <c r="I244" s="337" t="s">
        <v>306</v>
      </c>
      <c r="J244" s="321">
        <v>47</v>
      </c>
      <c r="K244" s="290">
        <v>1192.3</v>
      </c>
      <c r="L244" s="147">
        <v>0.18</v>
      </c>
      <c r="M244" s="147">
        <f t="shared" si="33"/>
        <v>1010.42</v>
      </c>
      <c r="N244" s="147">
        <f t="shared" si="34"/>
        <v>47489.74</v>
      </c>
      <c r="O244" s="148">
        <f t="shared" si="35"/>
        <v>8548.15</v>
      </c>
    </row>
    <row r="245" spans="1:15">
      <c r="A245" s="241"/>
      <c r="B245" s="292"/>
      <c r="C245" s="204"/>
      <c r="D245" s="204"/>
      <c r="E245" s="237"/>
      <c r="F245" s="248">
        <v>0.18</v>
      </c>
      <c r="G245" s="238"/>
      <c r="H245" s="288" t="s">
        <v>581</v>
      </c>
      <c r="I245" s="293"/>
      <c r="J245" s="293"/>
      <c r="K245" s="290"/>
      <c r="L245" s="147">
        <v>0.18</v>
      </c>
      <c r="M245" s="147"/>
      <c r="N245" s="147"/>
      <c r="O245" s="148"/>
    </row>
    <row r="246" spans="1:15" ht="78.75">
      <c r="A246" s="241">
        <f>+A244+1</f>
        <v>91</v>
      </c>
      <c r="B246" s="336" t="s">
        <v>582</v>
      </c>
      <c r="C246" s="204"/>
      <c r="D246" s="204"/>
      <c r="E246" s="237"/>
      <c r="F246" s="248">
        <v>0.18</v>
      </c>
      <c r="G246" s="238"/>
      <c r="H246" s="319" t="s">
        <v>583</v>
      </c>
      <c r="I246" s="325" t="s">
        <v>359</v>
      </c>
      <c r="J246" s="321">
        <v>8</v>
      </c>
      <c r="K246" s="290">
        <v>1879.2</v>
      </c>
      <c r="L246" s="147">
        <v>0.18</v>
      </c>
      <c r="M246" s="147">
        <f t="shared" ref="M246:M283" si="48">ROUND(K246/(1+L246),2)</f>
        <v>1592.54</v>
      </c>
      <c r="N246" s="147">
        <f t="shared" ref="N246:N283" si="49">ROUND(M246*J246,2)</f>
        <v>12740.32</v>
      </c>
      <c r="O246" s="148">
        <f t="shared" ref="O246:O283" si="50">ROUND(N246*18%,2)</f>
        <v>2293.2600000000002</v>
      </c>
    </row>
    <row r="247" spans="1:15" ht="78.75">
      <c r="A247" s="241">
        <f>+A246+1</f>
        <v>92</v>
      </c>
      <c r="B247" s="336" t="s">
        <v>584</v>
      </c>
      <c r="C247" s="204"/>
      <c r="D247" s="204"/>
      <c r="E247" s="237"/>
      <c r="F247" s="248">
        <v>0.18</v>
      </c>
      <c r="G247" s="238"/>
      <c r="H247" s="319" t="s">
        <v>585</v>
      </c>
      <c r="I247" s="325" t="s">
        <v>359</v>
      </c>
      <c r="J247" s="321">
        <v>8</v>
      </c>
      <c r="K247" s="290">
        <v>7514.65</v>
      </c>
      <c r="L247" s="147">
        <v>0.18</v>
      </c>
      <c r="M247" s="147">
        <f t="shared" si="48"/>
        <v>6368.35</v>
      </c>
      <c r="N247" s="147">
        <f t="shared" si="49"/>
        <v>50946.8</v>
      </c>
      <c r="O247" s="148">
        <f t="shared" si="50"/>
        <v>9170.42</v>
      </c>
    </row>
    <row r="248" spans="1:15" ht="31.5">
      <c r="A248" s="241">
        <f t="shared" si="38"/>
        <v>93</v>
      </c>
      <c r="B248" s="336" t="s">
        <v>586</v>
      </c>
      <c r="C248" s="204"/>
      <c r="D248" s="204"/>
      <c r="E248" s="237"/>
      <c r="F248" s="248">
        <v>0.18</v>
      </c>
      <c r="G248" s="238"/>
      <c r="H248" s="319" t="s">
        <v>587</v>
      </c>
      <c r="I248" s="325"/>
      <c r="J248" s="321"/>
      <c r="K248" s="290"/>
      <c r="L248" s="147">
        <v>0.18</v>
      </c>
      <c r="M248" s="147">
        <f t="shared" si="48"/>
        <v>0</v>
      </c>
      <c r="N248" s="147">
        <f t="shared" si="49"/>
        <v>0</v>
      </c>
      <c r="O248" s="148">
        <f t="shared" si="50"/>
        <v>0</v>
      </c>
    </row>
    <row r="249" spans="1:15">
      <c r="A249" s="241">
        <f t="shared" si="38"/>
        <v>94</v>
      </c>
      <c r="B249" s="336" t="s">
        <v>588</v>
      </c>
      <c r="C249" s="204"/>
      <c r="D249" s="204"/>
      <c r="E249" s="237"/>
      <c r="F249" s="248">
        <v>0.18</v>
      </c>
      <c r="G249" s="238"/>
      <c r="H249" s="319" t="s">
        <v>589</v>
      </c>
      <c r="I249" s="325" t="s">
        <v>359</v>
      </c>
      <c r="J249" s="321">
        <v>9</v>
      </c>
      <c r="K249" s="290">
        <v>119.55</v>
      </c>
      <c r="L249" s="147">
        <v>0.18</v>
      </c>
      <c r="M249" s="147">
        <f t="shared" si="48"/>
        <v>101.31</v>
      </c>
      <c r="N249" s="147">
        <f t="shared" si="49"/>
        <v>911.79</v>
      </c>
      <c r="O249" s="148">
        <f t="shared" si="50"/>
        <v>164.12</v>
      </c>
    </row>
    <row r="250" spans="1:15">
      <c r="A250" s="241">
        <f t="shared" si="38"/>
        <v>95</v>
      </c>
      <c r="B250" s="336" t="s">
        <v>590</v>
      </c>
      <c r="C250" s="204"/>
      <c r="D250" s="204"/>
      <c r="E250" s="237"/>
      <c r="F250" s="248">
        <v>0.18</v>
      </c>
      <c r="G250" s="238"/>
      <c r="H250" s="319" t="s">
        <v>591</v>
      </c>
      <c r="I250" s="325" t="s">
        <v>359</v>
      </c>
      <c r="J250" s="321">
        <v>2</v>
      </c>
      <c r="K250" s="290">
        <v>119.55</v>
      </c>
      <c r="L250" s="147">
        <v>0.18</v>
      </c>
      <c r="M250" s="147">
        <f t="shared" si="48"/>
        <v>101.31</v>
      </c>
      <c r="N250" s="147">
        <f t="shared" si="49"/>
        <v>202.62</v>
      </c>
      <c r="O250" s="148">
        <f t="shared" si="50"/>
        <v>36.47</v>
      </c>
    </row>
    <row r="251" spans="1:15" ht="47.25">
      <c r="A251" s="241">
        <f t="shared" ref="A251" si="51">+A249+1</f>
        <v>95</v>
      </c>
      <c r="B251" s="323" t="s">
        <v>592</v>
      </c>
      <c r="C251" s="204"/>
      <c r="D251" s="204"/>
      <c r="E251" s="237"/>
      <c r="F251" s="248">
        <v>0.18</v>
      </c>
      <c r="G251" s="238"/>
      <c r="H251" s="319" t="s">
        <v>593</v>
      </c>
      <c r="I251" s="325" t="s">
        <v>359</v>
      </c>
      <c r="J251" s="321">
        <v>9</v>
      </c>
      <c r="K251" s="290">
        <v>1607.95</v>
      </c>
      <c r="L251" s="147">
        <v>0.18</v>
      </c>
      <c r="M251" s="147">
        <f t="shared" si="48"/>
        <v>1362.67</v>
      </c>
      <c r="N251" s="147">
        <f t="shared" si="49"/>
        <v>12264.03</v>
      </c>
      <c r="O251" s="148">
        <f t="shared" si="50"/>
        <v>2207.5300000000002</v>
      </c>
    </row>
    <row r="252" spans="1:15" ht="47.25">
      <c r="A252" s="241">
        <f t="shared" si="38"/>
        <v>96</v>
      </c>
      <c r="B252" s="336" t="s">
        <v>594</v>
      </c>
      <c r="C252" s="204"/>
      <c r="D252" s="204"/>
      <c r="E252" s="237"/>
      <c r="F252" s="248">
        <v>0.18</v>
      </c>
      <c r="G252" s="238"/>
      <c r="H252" s="319" t="s">
        <v>595</v>
      </c>
      <c r="I252" s="325" t="s">
        <v>359</v>
      </c>
      <c r="J252" s="321">
        <v>8</v>
      </c>
      <c r="K252" s="290">
        <v>1083.5</v>
      </c>
      <c r="L252" s="147">
        <v>0.18</v>
      </c>
      <c r="M252" s="147">
        <f t="shared" si="48"/>
        <v>918.22</v>
      </c>
      <c r="N252" s="147">
        <f t="shared" si="49"/>
        <v>7345.76</v>
      </c>
      <c r="O252" s="148">
        <f t="shared" si="50"/>
        <v>1322.24</v>
      </c>
    </row>
    <row r="253" spans="1:15">
      <c r="A253" s="241">
        <f t="shared" si="38"/>
        <v>97</v>
      </c>
      <c r="B253" s="336" t="s">
        <v>596</v>
      </c>
      <c r="C253" s="204"/>
      <c r="D253" s="204"/>
      <c r="E253" s="237"/>
      <c r="F253" s="248">
        <v>0.18</v>
      </c>
      <c r="G253" s="238"/>
      <c r="H253" s="319" t="s">
        <v>597</v>
      </c>
      <c r="I253" s="325" t="s">
        <v>359</v>
      </c>
      <c r="J253" s="321">
        <v>8</v>
      </c>
      <c r="K253" s="290">
        <v>803.7</v>
      </c>
      <c r="L253" s="147">
        <v>0.18</v>
      </c>
      <c r="M253" s="147">
        <f t="shared" si="48"/>
        <v>681.1</v>
      </c>
      <c r="N253" s="147">
        <f t="shared" si="49"/>
        <v>5448.8</v>
      </c>
      <c r="O253" s="148">
        <f t="shared" si="50"/>
        <v>980.78</v>
      </c>
    </row>
    <row r="254" spans="1:15">
      <c r="A254" s="241"/>
      <c r="B254" s="292"/>
      <c r="C254" s="204"/>
      <c r="D254" s="204"/>
      <c r="E254" s="237"/>
      <c r="F254" s="248">
        <v>0.18</v>
      </c>
      <c r="G254" s="238"/>
      <c r="H254" s="288" t="s">
        <v>598</v>
      </c>
      <c r="I254" s="293"/>
      <c r="J254" s="293"/>
      <c r="K254" s="290"/>
      <c r="L254" s="147">
        <v>0.18</v>
      </c>
      <c r="M254" s="147">
        <f t="shared" si="48"/>
        <v>0</v>
      </c>
      <c r="N254" s="147">
        <f t="shared" si="49"/>
        <v>0</v>
      </c>
      <c r="O254" s="148">
        <f t="shared" si="50"/>
        <v>0</v>
      </c>
    </row>
    <row r="255" spans="1:15" ht="94.5">
      <c r="A255" s="241">
        <f t="shared" ref="A255" si="52">+A253+1</f>
        <v>98</v>
      </c>
      <c r="B255" s="336" t="s">
        <v>451</v>
      </c>
      <c r="C255" s="204"/>
      <c r="D255" s="204"/>
      <c r="E255" s="237"/>
      <c r="F255" s="248">
        <v>0.18</v>
      </c>
      <c r="G255" s="238"/>
      <c r="H255" s="319" t="s">
        <v>452</v>
      </c>
      <c r="I255" s="325"/>
      <c r="J255" s="321"/>
      <c r="K255" s="290"/>
      <c r="L255" s="147">
        <v>0.18</v>
      </c>
      <c r="M255" s="147">
        <f t="shared" si="48"/>
        <v>0</v>
      </c>
      <c r="N255" s="147">
        <f t="shared" si="49"/>
        <v>0</v>
      </c>
      <c r="O255" s="148">
        <f t="shared" si="50"/>
        <v>0</v>
      </c>
    </row>
    <row r="256" spans="1:15">
      <c r="A256" s="241">
        <f t="shared" si="38"/>
        <v>99</v>
      </c>
      <c r="B256" s="336" t="s">
        <v>453</v>
      </c>
      <c r="C256" s="204"/>
      <c r="D256" s="204"/>
      <c r="E256" s="237"/>
      <c r="F256" s="248">
        <v>0.18</v>
      </c>
      <c r="G256" s="238"/>
      <c r="H256" s="319" t="s">
        <v>454</v>
      </c>
      <c r="I256" s="325" t="s">
        <v>284</v>
      </c>
      <c r="J256" s="321">
        <v>5</v>
      </c>
      <c r="K256" s="290">
        <v>401.55</v>
      </c>
      <c r="L256" s="147">
        <v>0.18</v>
      </c>
      <c r="M256" s="147">
        <f t="shared" si="48"/>
        <v>340.3</v>
      </c>
      <c r="N256" s="147">
        <f t="shared" si="49"/>
        <v>1701.5</v>
      </c>
      <c r="O256" s="148">
        <f t="shared" si="50"/>
        <v>306.27</v>
      </c>
    </row>
    <row r="257" spans="1:15" ht="110.25">
      <c r="A257" s="241">
        <f t="shared" si="38"/>
        <v>100</v>
      </c>
      <c r="B257" s="336" t="s">
        <v>455</v>
      </c>
      <c r="C257" s="204"/>
      <c r="D257" s="204"/>
      <c r="E257" s="237"/>
      <c r="F257" s="248">
        <v>0.18</v>
      </c>
      <c r="G257" s="238"/>
      <c r="H257" s="319" t="s">
        <v>456</v>
      </c>
      <c r="I257" s="325"/>
      <c r="J257" s="321"/>
      <c r="K257" s="290"/>
      <c r="L257" s="147">
        <v>0.18</v>
      </c>
      <c r="M257" s="147">
        <f t="shared" si="48"/>
        <v>0</v>
      </c>
      <c r="N257" s="147">
        <f t="shared" si="49"/>
        <v>0</v>
      </c>
      <c r="O257" s="148">
        <f t="shared" si="50"/>
        <v>0</v>
      </c>
    </row>
    <row r="258" spans="1:15">
      <c r="A258" s="241">
        <f t="shared" si="38"/>
        <v>101</v>
      </c>
      <c r="B258" s="336" t="s">
        <v>457</v>
      </c>
      <c r="C258" s="204"/>
      <c r="D258" s="204"/>
      <c r="E258" s="237"/>
      <c r="F258" s="248">
        <v>0.18</v>
      </c>
      <c r="G258" s="238"/>
      <c r="H258" s="319" t="s">
        <v>458</v>
      </c>
      <c r="I258" s="325" t="s">
        <v>284</v>
      </c>
      <c r="J258" s="321">
        <v>8</v>
      </c>
      <c r="K258" s="290">
        <v>497.8</v>
      </c>
      <c r="L258" s="147">
        <v>0.18</v>
      </c>
      <c r="M258" s="147">
        <f t="shared" si="48"/>
        <v>421.86</v>
      </c>
      <c r="N258" s="147">
        <f t="shared" si="49"/>
        <v>3374.88</v>
      </c>
      <c r="O258" s="148">
        <f t="shared" si="50"/>
        <v>607.48</v>
      </c>
    </row>
    <row r="259" spans="1:15">
      <c r="A259" s="241">
        <f t="shared" ref="A259" si="53">+A257+1</f>
        <v>101</v>
      </c>
      <c r="B259" s="336" t="s">
        <v>459</v>
      </c>
      <c r="C259" s="204"/>
      <c r="D259" s="204"/>
      <c r="E259" s="237"/>
      <c r="F259" s="248">
        <v>0.18</v>
      </c>
      <c r="G259" s="238"/>
      <c r="H259" s="319" t="s">
        <v>460</v>
      </c>
      <c r="I259" s="325" t="s">
        <v>284</v>
      </c>
      <c r="J259" s="321">
        <v>80</v>
      </c>
      <c r="K259" s="290">
        <v>537.6</v>
      </c>
      <c r="L259" s="147">
        <v>0.18</v>
      </c>
      <c r="M259" s="147">
        <f t="shared" si="48"/>
        <v>455.59</v>
      </c>
      <c r="N259" s="147">
        <f t="shared" si="49"/>
        <v>36447.199999999997</v>
      </c>
      <c r="O259" s="148">
        <f t="shared" si="50"/>
        <v>6560.5</v>
      </c>
    </row>
    <row r="260" spans="1:15">
      <c r="A260" s="241">
        <f t="shared" si="38"/>
        <v>102</v>
      </c>
      <c r="B260" s="336" t="s">
        <v>461</v>
      </c>
      <c r="C260" s="204"/>
      <c r="D260" s="204"/>
      <c r="E260" s="237"/>
      <c r="F260" s="248">
        <v>0.18</v>
      </c>
      <c r="G260" s="238"/>
      <c r="H260" s="319" t="s">
        <v>462</v>
      </c>
      <c r="I260" s="325" t="s">
        <v>284</v>
      </c>
      <c r="J260" s="321">
        <v>40</v>
      </c>
      <c r="K260" s="290">
        <v>627.25</v>
      </c>
      <c r="L260" s="147">
        <v>0.18</v>
      </c>
      <c r="M260" s="147">
        <f t="shared" si="48"/>
        <v>531.57000000000005</v>
      </c>
      <c r="N260" s="147">
        <f t="shared" si="49"/>
        <v>21262.799999999999</v>
      </c>
      <c r="O260" s="148">
        <f t="shared" si="50"/>
        <v>3827.3</v>
      </c>
    </row>
    <row r="261" spans="1:15">
      <c r="A261" s="241">
        <f t="shared" si="38"/>
        <v>103</v>
      </c>
      <c r="B261" s="336" t="s">
        <v>463</v>
      </c>
      <c r="C261" s="204"/>
      <c r="D261" s="204"/>
      <c r="E261" s="237"/>
      <c r="F261" s="248">
        <v>0.18</v>
      </c>
      <c r="G261" s="238"/>
      <c r="H261" s="319" t="s">
        <v>464</v>
      </c>
      <c r="I261" s="325" t="s">
        <v>284</v>
      </c>
      <c r="J261" s="321">
        <v>40</v>
      </c>
      <c r="K261" s="290">
        <v>739.3</v>
      </c>
      <c r="L261" s="147">
        <v>0.18</v>
      </c>
      <c r="M261" s="147">
        <f t="shared" si="48"/>
        <v>626.53</v>
      </c>
      <c r="N261" s="147">
        <f t="shared" si="49"/>
        <v>25061.200000000001</v>
      </c>
      <c r="O261" s="148">
        <f t="shared" si="50"/>
        <v>4511.0200000000004</v>
      </c>
    </row>
    <row r="262" spans="1:15" ht="110.25">
      <c r="A262" s="241">
        <f t="shared" si="38"/>
        <v>104</v>
      </c>
      <c r="B262" s="336" t="s">
        <v>465</v>
      </c>
      <c r="C262" s="204"/>
      <c r="D262" s="204"/>
      <c r="E262" s="237"/>
      <c r="F262" s="248">
        <v>0.18</v>
      </c>
      <c r="G262" s="238"/>
      <c r="H262" s="319" t="s">
        <v>466</v>
      </c>
      <c r="I262" s="325"/>
      <c r="J262" s="321"/>
      <c r="K262" s="290"/>
      <c r="L262" s="147">
        <v>0.18</v>
      </c>
      <c r="M262" s="147">
        <f t="shared" si="48"/>
        <v>0</v>
      </c>
      <c r="N262" s="147">
        <f t="shared" si="49"/>
        <v>0</v>
      </c>
      <c r="O262" s="148">
        <f t="shared" si="50"/>
        <v>0</v>
      </c>
    </row>
    <row r="263" spans="1:15" ht="31.5">
      <c r="A263" s="241">
        <f t="shared" ref="A263" si="54">+A261+1</f>
        <v>104</v>
      </c>
      <c r="B263" s="336" t="s">
        <v>467</v>
      </c>
      <c r="C263" s="204"/>
      <c r="D263" s="204"/>
      <c r="E263" s="237"/>
      <c r="F263" s="248">
        <v>0.18</v>
      </c>
      <c r="G263" s="238"/>
      <c r="H263" s="319" t="s">
        <v>468</v>
      </c>
      <c r="I263" s="325" t="s">
        <v>284</v>
      </c>
      <c r="J263" s="321">
        <v>20</v>
      </c>
      <c r="K263" s="290">
        <v>355.4</v>
      </c>
      <c r="L263" s="147">
        <v>0.18</v>
      </c>
      <c r="M263" s="147">
        <f t="shared" si="48"/>
        <v>301.19</v>
      </c>
      <c r="N263" s="147">
        <f t="shared" si="49"/>
        <v>6023.8</v>
      </c>
      <c r="O263" s="148">
        <f t="shared" si="50"/>
        <v>1084.28</v>
      </c>
    </row>
    <row r="264" spans="1:15">
      <c r="A264" s="241">
        <f t="shared" si="38"/>
        <v>105</v>
      </c>
      <c r="B264" s="336" t="s">
        <v>469</v>
      </c>
      <c r="C264" s="204"/>
      <c r="D264" s="204"/>
      <c r="E264" s="237"/>
      <c r="F264" s="248">
        <v>0.18</v>
      </c>
      <c r="G264" s="238"/>
      <c r="H264" s="319" t="s">
        <v>470</v>
      </c>
      <c r="I264" s="325" t="s">
        <v>284</v>
      </c>
      <c r="J264" s="321">
        <v>20</v>
      </c>
      <c r="K264" s="290">
        <v>438.6</v>
      </c>
      <c r="L264" s="147">
        <v>0.18</v>
      </c>
      <c r="M264" s="147">
        <f t="shared" si="48"/>
        <v>371.69</v>
      </c>
      <c r="N264" s="147">
        <f t="shared" si="49"/>
        <v>7433.8</v>
      </c>
      <c r="O264" s="148">
        <f t="shared" si="50"/>
        <v>1338.08</v>
      </c>
    </row>
    <row r="265" spans="1:15">
      <c r="A265" s="241">
        <f t="shared" si="38"/>
        <v>106</v>
      </c>
      <c r="B265" s="336" t="s">
        <v>471</v>
      </c>
      <c r="C265" s="204"/>
      <c r="D265" s="204"/>
      <c r="E265" s="237"/>
      <c r="F265" s="248">
        <v>0.18</v>
      </c>
      <c r="G265" s="238"/>
      <c r="H265" s="319" t="s">
        <v>472</v>
      </c>
      <c r="I265" s="325" t="s">
        <v>284</v>
      </c>
      <c r="J265" s="321">
        <v>30</v>
      </c>
      <c r="K265" s="290">
        <v>563.04999999999995</v>
      </c>
      <c r="L265" s="147">
        <v>0.18</v>
      </c>
      <c r="M265" s="147">
        <f t="shared" si="48"/>
        <v>477.16</v>
      </c>
      <c r="N265" s="147">
        <f t="shared" si="49"/>
        <v>14314.8</v>
      </c>
      <c r="O265" s="148">
        <f t="shared" si="50"/>
        <v>2576.66</v>
      </c>
    </row>
    <row r="266" spans="1:15" ht="31.5">
      <c r="A266" s="241">
        <f t="shared" si="38"/>
        <v>107</v>
      </c>
      <c r="B266" s="336" t="s">
        <v>473</v>
      </c>
      <c r="C266" s="204"/>
      <c r="D266" s="204"/>
      <c r="E266" s="237"/>
      <c r="F266" s="248">
        <v>0.18</v>
      </c>
      <c r="G266" s="238"/>
      <c r="H266" s="319" t="s">
        <v>474</v>
      </c>
      <c r="I266" s="325" t="s">
        <v>284</v>
      </c>
      <c r="J266" s="321">
        <v>40</v>
      </c>
      <c r="K266" s="290">
        <v>794.25</v>
      </c>
      <c r="L266" s="147">
        <v>0.18</v>
      </c>
      <c r="M266" s="147">
        <f t="shared" si="48"/>
        <v>673.09</v>
      </c>
      <c r="N266" s="147">
        <f t="shared" si="49"/>
        <v>26923.599999999999</v>
      </c>
      <c r="O266" s="148">
        <f t="shared" si="50"/>
        <v>4846.25</v>
      </c>
    </row>
    <row r="267" spans="1:15" ht="47.25">
      <c r="A267" s="241">
        <f t="shared" ref="A267" si="55">+A265+1</f>
        <v>107</v>
      </c>
      <c r="B267" s="336" t="s">
        <v>599</v>
      </c>
      <c r="C267" s="204"/>
      <c r="D267" s="204"/>
      <c r="E267" s="237"/>
      <c r="F267" s="248">
        <v>0.18</v>
      </c>
      <c r="G267" s="238"/>
      <c r="H267" s="319" t="s">
        <v>600</v>
      </c>
      <c r="I267" s="325" t="s">
        <v>359</v>
      </c>
      <c r="J267" s="321">
        <v>40</v>
      </c>
      <c r="K267" s="290">
        <v>222.35</v>
      </c>
      <c r="L267" s="147">
        <v>0.18</v>
      </c>
      <c r="M267" s="147">
        <f t="shared" si="48"/>
        <v>188.43</v>
      </c>
      <c r="N267" s="147">
        <f t="shared" si="49"/>
        <v>7537.2</v>
      </c>
      <c r="O267" s="148">
        <f t="shared" si="50"/>
        <v>1356.7</v>
      </c>
    </row>
    <row r="268" spans="1:15" ht="63">
      <c r="A268" s="241">
        <f t="shared" si="38"/>
        <v>108</v>
      </c>
      <c r="B268" s="336" t="s">
        <v>475</v>
      </c>
      <c r="C268" s="204"/>
      <c r="D268" s="204"/>
      <c r="E268" s="237"/>
      <c r="F268" s="248">
        <v>0.18</v>
      </c>
      <c r="G268" s="238"/>
      <c r="H268" s="319" t="s">
        <v>476</v>
      </c>
      <c r="I268" s="325" t="s">
        <v>295</v>
      </c>
      <c r="J268" s="321">
        <v>5000</v>
      </c>
      <c r="K268" s="290">
        <v>11</v>
      </c>
      <c r="L268" s="147">
        <v>0.18</v>
      </c>
      <c r="M268" s="147">
        <f t="shared" si="48"/>
        <v>9.32</v>
      </c>
      <c r="N268" s="147">
        <f t="shared" si="49"/>
        <v>46600</v>
      </c>
      <c r="O268" s="340">
        <f t="shared" si="50"/>
        <v>8388</v>
      </c>
    </row>
    <row r="269" spans="1:15" ht="47.25">
      <c r="A269" s="241">
        <f t="shared" si="38"/>
        <v>109</v>
      </c>
      <c r="B269" s="336" t="s">
        <v>601</v>
      </c>
      <c r="C269" s="204"/>
      <c r="D269" s="204"/>
      <c r="E269" s="237"/>
      <c r="F269" s="248">
        <v>0.18</v>
      </c>
      <c r="G269" s="238"/>
      <c r="H269" s="319" t="s">
        <v>602</v>
      </c>
      <c r="I269" s="325" t="s">
        <v>359</v>
      </c>
      <c r="J269" s="321">
        <v>40</v>
      </c>
      <c r="K269" s="290">
        <v>574.29999999999995</v>
      </c>
      <c r="L269" s="147">
        <v>0.18</v>
      </c>
      <c r="M269" s="147">
        <f t="shared" si="48"/>
        <v>486.69</v>
      </c>
      <c r="N269" s="147">
        <f t="shared" si="49"/>
        <v>19467.599999999999</v>
      </c>
      <c r="O269" s="148">
        <f t="shared" si="50"/>
        <v>3504.17</v>
      </c>
    </row>
    <row r="270" spans="1:15" ht="31.5">
      <c r="A270" s="241">
        <f t="shared" si="38"/>
        <v>110</v>
      </c>
      <c r="B270" s="336" t="s">
        <v>477</v>
      </c>
      <c r="C270" s="204"/>
      <c r="D270" s="204"/>
      <c r="E270" s="237"/>
      <c r="F270" s="248">
        <v>0.18</v>
      </c>
      <c r="G270" s="238"/>
      <c r="H270" s="319" t="s">
        <v>478</v>
      </c>
      <c r="I270" s="325" t="s">
        <v>359</v>
      </c>
      <c r="J270" s="321">
        <v>40</v>
      </c>
      <c r="K270" s="290">
        <v>74.8</v>
      </c>
      <c r="L270" s="147">
        <v>0.18</v>
      </c>
      <c r="M270" s="147">
        <f t="shared" si="48"/>
        <v>63.39</v>
      </c>
      <c r="N270" s="147">
        <f t="shared" si="49"/>
        <v>2535.6</v>
      </c>
      <c r="O270" s="148">
        <f t="shared" si="50"/>
        <v>456.41</v>
      </c>
    </row>
    <row r="271" spans="1:15" ht="63">
      <c r="A271" s="241">
        <f>+A270+1</f>
        <v>111</v>
      </c>
      <c r="B271" s="336" t="s">
        <v>603</v>
      </c>
      <c r="C271" s="204"/>
      <c r="D271" s="204"/>
      <c r="E271" s="237"/>
      <c r="F271" s="248">
        <v>0.18</v>
      </c>
      <c r="G271" s="238"/>
      <c r="H271" s="319" t="s">
        <v>604</v>
      </c>
      <c r="I271" s="325" t="s">
        <v>359</v>
      </c>
      <c r="J271" s="321">
        <v>8</v>
      </c>
      <c r="K271" s="290">
        <v>452</v>
      </c>
      <c r="L271" s="147">
        <v>0.18</v>
      </c>
      <c r="M271" s="147">
        <f t="shared" si="48"/>
        <v>383.05</v>
      </c>
      <c r="N271" s="147">
        <f t="shared" si="49"/>
        <v>3064.4</v>
      </c>
      <c r="O271" s="148">
        <f t="shared" si="50"/>
        <v>551.59</v>
      </c>
    </row>
    <row r="272" spans="1:15">
      <c r="A272" s="241"/>
      <c r="B272" s="292"/>
      <c r="C272" s="204"/>
      <c r="D272" s="204"/>
      <c r="E272" s="237"/>
      <c r="F272" s="248">
        <v>0.18</v>
      </c>
      <c r="G272" s="238"/>
      <c r="H272" s="288" t="s">
        <v>479</v>
      </c>
      <c r="I272" s="293"/>
      <c r="J272" s="293"/>
      <c r="K272" s="290"/>
      <c r="L272" s="147">
        <v>0.18</v>
      </c>
      <c r="M272" s="147">
        <f t="shared" si="48"/>
        <v>0</v>
      </c>
      <c r="N272" s="147">
        <f t="shared" si="49"/>
        <v>0</v>
      </c>
      <c r="O272" s="148">
        <f t="shared" si="50"/>
        <v>0</v>
      </c>
    </row>
    <row r="273" spans="1:15" ht="78.75">
      <c r="A273" s="241">
        <f>+A271+1</f>
        <v>112</v>
      </c>
      <c r="B273" s="336" t="s">
        <v>480</v>
      </c>
      <c r="C273" s="204"/>
      <c r="D273" s="204"/>
      <c r="E273" s="237"/>
      <c r="F273" s="248">
        <v>0.18</v>
      </c>
      <c r="G273" s="238"/>
      <c r="H273" s="319" t="s">
        <v>481</v>
      </c>
      <c r="I273" s="325" t="s">
        <v>359</v>
      </c>
      <c r="J273" s="321">
        <v>4</v>
      </c>
      <c r="K273" s="290">
        <v>2707.65</v>
      </c>
      <c r="L273" s="147">
        <v>0.18</v>
      </c>
      <c r="M273" s="147">
        <f t="shared" si="48"/>
        <v>2294.62</v>
      </c>
      <c r="N273" s="147">
        <f t="shared" si="49"/>
        <v>9178.48</v>
      </c>
      <c r="O273" s="148">
        <f t="shared" si="50"/>
        <v>1652.13</v>
      </c>
    </row>
    <row r="274" spans="1:15" ht="47.25">
      <c r="A274" s="241">
        <f t="shared" ref="A274:A283" si="56">+A273+1</f>
        <v>113</v>
      </c>
      <c r="B274" s="336" t="s">
        <v>482</v>
      </c>
      <c r="C274" s="204"/>
      <c r="D274" s="204"/>
      <c r="E274" s="237"/>
      <c r="F274" s="248">
        <v>0.18</v>
      </c>
      <c r="G274" s="238"/>
      <c r="H274" s="319" t="s">
        <v>483</v>
      </c>
      <c r="I274" s="325"/>
      <c r="J274" s="321"/>
      <c r="K274" s="290"/>
      <c r="L274" s="147">
        <v>0.18</v>
      </c>
      <c r="M274" s="147">
        <f t="shared" si="48"/>
        <v>0</v>
      </c>
      <c r="N274" s="147">
        <f t="shared" si="49"/>
        <v>0</v>
      </c>
      <c r="O274" s="148">
        <f t="shared" si="50"/>
        <v>0</v>
      </c>
    </row>
    <row r="275" spans="1:15">
      <c r="A275" s="241">
        <f>+A274+1</f>
        <v>114</v>
      </c>
      <c r="B275" s="336" t="s">
        <v>484</v>
      </c>
      <c r="C275" s="204"/>
      <c r="D275" s="204"/>
      <c r="E275" s="237"/>
      <c r="F275" s="248">
        <v>0.18</v>
      </c>
      <c r="G275" s="238"/>
      <c r="H275" s="319" t="s">
        <v>485</v>
      </c>
      <c r="I275" s="325" t="s">
        <v>284</v>
      </c>
      <c r="J275" s="321">
        <v>15</v>
      </c>
      <c r="K275" s="290">
        <v>899.8</v>
      </c>
      <c r="L275" s="147">
        <v>0.18</v>
      </c>
      <c r="M275" s="147">
        <f t="shared" si="48"/>
        <v>762.54</v>
      </c>
      <c r="N275" s="147">
        <f t="shared" si="49"/>
        <v>11438.1</v>
      </c>
      <c r="O275" s="148">
        <f t="shared" si="50"/>
        <v>2058.86</v>
      </c>
    </row>
    <row r="276" spans="1:15">
      <c r="A276" s="241">
        <f t="shared" si="56"/>
        <v>115</v>
      </c>
      <c r="B276" s="336" t="s">
        <v>486</v>
      </c>
      <c r="C276" s="204"/>
      <c r="D276" s="204"/>
      <c r="E276" s="237"/>
      <c r="F276" s="248">
        <v>0.18</v>
      </c>
      <c r="G276" s="238"/>
      <c r="H276" s="319" t="s">
        <v>487</v>
      </c>
      <c r="I276" s="325" t="s">
        <v>284</v>
      </c>
      <c r="J276" s="321">
        <v>10</v>
      </c>
      <c r="K276" s="290">
        <v>994.3</v>
      </c>
      <c r="L276" s="147">
        <v>0.18</v>
      </c>
      <c r="M276" s="147">
        <f t="shared" si="48"/>
        <v>842.63</v>
      </c>
      <c r="N276" s="147">
        <f t="shared" si="49"/>
        <v>8426.2999999999993</v>
      </c>
      <c r="O276" s="148">
        <f t="shared" si="50"/>
        <v>1516.73</v>
      </c>
    </row>
    <row r="277" spans="1:15">
      <c r="A277" s="241">
        <f t="shared" ref="A277" si="57">+A275+1</f>
        <v>115</v>
      </c>
      <c r="B277" s="336" t="s">
        <v>488</v>
      </c>
      <c r="C277" s="204"/>
      <c r="D277" s="204"/>
      <c r="E277" s="237"/>
      <c r="F277" s="248">
        <v>0.18</v>
      </c>
      <c r="G277" s="238"/>
      <c r="H277" s="319" t="s">
        <v>489</v>
      </c>
      <c r="I277" s="325" t="s">
        <v>284</v>
      </c>
      <c r="J277" s="321">
        <v>10</v>
      </c>
      <c r="K277" s="290">
        <v>1620.95</v>
      </c>
      <c r="L277" s="147">
        <v>0.18</v>
      </c>
      <c r="M277" s="147">
        <f t="shared" si="48"/>
        <v>1373.69</v>
      </c>
      <c r="N277" s="147">
        <f t="shared" si="49"/>
        <v>13736.9</v>
      </c>
      <c r="O277" s="148">
        <f t="shared" si="50"/>
        <v>2472.64</v>
      </c>
    </row>
    <row r="278" spans="1:15" ht="204.75">
      <c r="A278" s="241">
        <f t="shared" si="56"/>
        <v>116</v>
      </c>
      <c r="B278" s="336" t="s">
        <v>490</v>
      </c>
      <c r="C278" s="204"/>
      <c r="D278" s="204"/>
      <c r="E278" s="237"/>
      <c r="F278" s="248">
        <v>0.18</v>
      </c>
      <c r="G278" s="238"/>
      <c r="H278" s="319" t="s">
        <v>491</v>
      </c>
      <c r="I278" s="325" t="s">
        <v>359</v>
      </c>
      <c r="J278" s="321">
        <v>4</v>
      </c>
      <c r="K278" s="290">
        <v>12770.55</v>
      </c>
      <c r="L278" s="147">
        <v>0.18</v>
      </c>
      <c r="M278" s="147">
        <f t="shared" si="48"/>
        <v>10822.5</v>
      </c>
      <c r="N278" s="147">
        <f t="shared" si="49"/>
        <v>43290</v>
      </c>
      <c r="O278" s="148">
        <f t="shared" si="50"/>
        <v>7792.2</v>
      </c>
    </row>
    <row r="279" spans="1:15">
      <c r="A279" s="241"/>
      <c r="B279" s="336"/>
      <c r="C279" s="204"/>
      <c r="D279" s="204"/>
      <c r="E279" s="237"/>
      <c r="F279" s="248"/>
      <c r="G279" s="238"/>
      <c r="H279" s="364" t="s">
        <v>492</v>
      </c>
      <c r="I279" s="337"/>
      <c r="J279" s="363"/>
      <c r="K279" s="290"/>
      <c r="L279" s="147"/>
      <c r="M279" s="147"/>
      <c r="N279" s="147"/>
      <c r="O279" s="148"/>
    </row>
    <row r="280" spans="1:15">
      <c r="A280" s="241"/>
      <c r="B280" s="292"/>
      <c r="C280" s="204"/>
      <c r="D280" s="204"/>
      <c r="E280" s="237"/>
      <c r="F280" s="248">
        <v>0.18</v>
      </c>
      <c r="G280" s="238"/>
      <c r="H280" s="288" t="s">
        <v>505</v>
      </c>
      <c r="I280" s="338"/>
      <c r="J280" s="338"/>
      <c r="K280" s="290"/>
      <c r="L280" s="147">
        <v>0.18</v>
      </c>
      <c r="M280" s="147">
        <f t="shared" si="48"/>
        <v>0</v>
      </c>
      <c r="N280" s="147">
        <f t="shared" si="49"/>
        <v>0</v>
      </c>
      <c r="O280" s="148">
        <f t="shared" si="50"/>
        <v>0</v>
      </c>
    </row>
    <row r="281" spans="1:15" ht="263.25" customHeight="1">
      <c r="A281" s="241">
        <f>+A278+1</f>
        <v>117</v>
      </c>
      <c r="B281" s="336" t="s">
        <v>605</v>
      </c>
      <c r="C281" s="204"/>
      <c r="D281" s="204"/>
      <c r="E281" s="237"/>
      <c r="F281" s="248">
        <v>0.18</v>
      </c>
      <c r="G281" s="238"/>
      <c r="H281" s="319" t="s">
        <v>606</v>
      </c>
      <c r="I281" s="325" t="s">
        <v>306</v>
      </c>
      <c r="J281" s="339">
        <v>27</v>
      </c>
      <c r="K281" s="290">
        <v>769.6</v>
      </c>
      <c r="L281" s="147">
        <v>0.18</v>
      </c>
      <c r="M281" s="147">
        <f t="shared" si="48"/>
        <v>652.20000000000005</v>
      </c>
      <c r="N281" s="147">
        <f t="shared" si="49"/>
        <v>17609.400000000001</v>
      </c>
      <c r="O281" s="148">
        <f t="shared" si="50"/>
        <v>3169.69</v>
      </c>
    </row>
    <row r="282" spans="1:15" ht="294" customHeight="1">
      <c r="A282" s="241">
        <f>+A281+1</f>
        <v>118</v>
      </c>
      <c r="B282" s="336" t="s">
        <v>607</v>
      </c>
      <c r="C282" s="204"/>
      <c r="D282" s="204"/>
      <c r="E282" s="237"/>
      <c r="F282" s="248">
        <v>0.18</v>
      </c>
      <c r="G282" s="238"/>
      <c r="H282" s="319" t="s">
        <v>608</v>
      </c>
      <c r="I282" s="325" t="s">
        <v>306</v>
      </c>
      <c r="J282" s="339">
        <v>42</v>
      </c>
      <c r="K282" s="290">
        <v>688.9</v>
      </c>
      <c r="L282" s="147">
        <v>0.18</v>
      </c>
      <c r="M282" s="147">
        <f t="shared" si="48"/>
        <v>583.80999999999995</v>
      </c>
      <c r="N282" s="147">
        <f t="shared" si="49"/>
        <v>24520.02</v>
      </c>
      <c r="O282" s="148">
        <f t="shared" si="50"/>
        <v>4413.6000000000004</v>
      </c>
    </row>
    <row r="283" spans="1:15" ht="409.5">
      <c r="A283" s="241">
        <f t="shared" si="56"/>
        <v>119</v>
      </c>
      <c r="B283" s="336" t="s">
        <v>506</v>
      </c>
      <c r="C283" s="204"/>
      <c r="D283" s="204"/>
      <c r="E283" s="237"/>
      <c r="F283" s="248">
        <v>0.18</v>
      </c>
      <c r="G283" s="238"/>
      <c r="H283" s="319" t="s">
        <v>507</v>
      </c>
      <c r="I283" s="325" t="s">
        <v>306</v>
      </c>
      <c r="J283" s="339">
        <v>224</v>
      </c>
      <c r="K283" s="290">
        <v>1684.6</v>
      </c>
      <c r="L283" s="147">
        <v>0.18</v>
      </c>
      <c r="M283" s="147">
        <f t="shared" si="48"/>
        <v>1427.63</v>
      </c>
      <c r="N283" s="147">
        <f t="shared" si="49"/>
        <v>319789.12</v>
      </c>
      <c r="O283" s="148">
        <f t="shared" si="50"/>
        <v>57562.04</v>
      </c>
    </row>
    <row r="284" spans="1:15">
      <c r="A284" s="241"/>
      <c r="B284" s="292"/>
      <c r="C284" s="204"/>
      <c r="D284" s="204"/>
      <c r="E284" s="237"/>
      <c r="F284" s="248">
        <v>0.18</v>
      </c>
      <c r="G284" s="238"/>
      <c r="H284" s="288" t="s">
        <v>609</v>
      </c>
      <c r="I284" s="338"/>
      <c r="J284" s="338"/>
      <c r="K284" s="290"/>
      <c r="L284" s="147">
        <v>0.18</v>
      </c>
      <c r="M284" s="147"/>
      <c r="N284" s="147"/>
      <c r="O284" s="148"/>
    </row>
    <row r="285" spans="1:15" ht="330.75">
      <c r="A285" s="241">
        <f>+A283+1</f>
        <v>120</v>
      </c>
      <c r="B285" s="336" t="s">
        <v>508</v>
      </c>
      <c r="C285" s="204"/>
      <c r="D285" s="204"/>
      <c r="E285" s="237"/>
      <c r="F285" s="248">
        <v>0.18</v>
      </c>
      <c r="G285" s="238"/>
      <c r="H285" s="319" t="s">
        <v>509</v>
      </c>
      <c r="I285" s="325" t="s">
        <v>306</v>
      </c>
      <c r="J285" s="339">
        <v>40</v>
      </c>
      <c r="K285" s="290">
        <v>1111.3</v>
      </c>
      <c r="L285" s="147">
        <v>0.18</v>
      </c>
      <c r="M285" s="147">
        <f t="shared" ref="M285:M286" si="58">ROUND(K285/(1+L285),2)</f>
        <v>941.78</v>
      </c>
      <c r="N285" s="147">
        <f t="shared" ref="N285:N286" si="59">ROUND(M285*J285,2)</f>
        <v>37671.199999999997</v>
      </c>
      <c r="O285" s="148">
        <f t="shared" ref="O285:O286" si="60">ROUND(N285*18%,2)</f>
        <v>6780.82</v>
      </c>
    </row>
    <row r="286" spans="1:15" ht="267.75">
      <c r="A286" s="241">
        <f>+A285+1</f>
        <v>121</v>
      </c>
      <c r="B286" s="336" t="s">
        <v>510</v>
      </c>
      <c r="C286" s="204"/>
      <c r="D286" s="204"/>
      <c r="E286" s="237"/>
      <c r="F286" s="248">
        <v>0.18</v>
      </c>
      <c r="G286" s="238"/>
      <c r="H286" s="319" t="s">
        <v>511</v>
      </c>
      <c r="I286" s="325" t="s">
        <v>306</v>
      </c>
      <c r="J286" s="339">
        <v>13</v>
      </c>
      <c r="K286" s="290">
        <v>4346.7</v>
      </c>
      <c r="L286" s="147">
        <v>0.18</v>
      </c>
      <c r="M286" s="147">
        <f t="shared" si="58"/>
        <v>3683.64</v>
      </c>
      <c r="N286" s="147">
        <f t="shared" si="59"/>
        <v>47887.32</v>
      </c>
      <c r="O286" s="148">
        <f t="shared" si="60"/>
        <v>8619.7199999999993</v>
      </c>
    </row>
    <row r="287" spans="1:15" ht="36">
      <c r="A287" s="257"/>
      <c r="B287" s="258"/>
      <c r="C287" s="259"/>
      <c r="D287" s="260"/>
      <c r="E287" s="261"/>
      <c r="F287" s="262"/>
      <c r="G287" s="263"/>
      <c r="H287" s="264" t="s">
        <v>610</v>
      </c>
      <c r="I287" s="299"/>
      <c r="J287" s="265"/>
      <c r="K287" s="291"/>
      <c r="L287" s="267"/>
      <c r="M287" s="266"/>
      <c r="N287" s="268">
        <f>SUM(N140:N286)</f>
        <v>11676679.689999999</v>
      </c>
      <c r="O287" s="268">
        <f>SUM(O140:O286)</f>
        <v>2101802.3700000006</v>
      </c>
    </row>
    <row r="288" spans="1:15">
      <c r="A288" s="241"/>
      <c r="B288" s="336"/>
      <c r="C288" s="204"/>
      <c r="D288" s="204"/>
      <c r="E288" s="237"/>
      <c r="F288" s="248"/>
      <c r="G288" s="238"/>
      <c r="H288" s="319"/>
      <c r="I288" s="325"/>
      <c r="J288" s="339"/>
      <c r="K288" s="290"/>
      <c r="L288" s="147"/>
      <c r="M288" s="147"/>
      <c r="N288" s="147"/>
      <c r="O288" s="148"/>
    </row>
    <row r="289" spans="1:15">
      <c r="A289" s="241"/>
      <c r="B289" s="292"/>
      <c r="C289" s="204"/>
      <c r="D289" s="204"/>
      <c r="E289" s="237"/>
      <c r="F289" s="248"/>
      <c r="G289" s="238"/>
      <c r="H289" s="328"/>
      <c r="I289" s="339"/>
      <c r="J289" s="339"/>
      <c r="K289" s="290"/>
      <c r="L289" s="147"/>
      <c r="M289" s="147"/>
      <c r="N289" s="147"/>
      <c r="O289" s="148"/>
    </row>
    <row r="290" spans="1:15" ht="36">
      <c r="A290" s="217"/>
      <c r="B290" s="211" t="s">
        <v>611</v>
      </c>
      <c r="C290" s="212"/>
      <c r="D290" s="213"/>
      <c r="E290" s="214"/>
      <c r="F290" s="215"/>
      <c r="G290" s="216"/>
      <c r="H290" s="242" t="s">
        <v>612</v>
      </c>
      <c r="I290" s="298"/>
      <c r="J290" s="218"/>
      <c r="K290" s="291"/>
      <c r="L290" s="220"/>
      <c r="M290" s="219"/>
      <c r="N290" s="219"/>
      <c r="O290" s="218"/>
    </row>
    <row r="291" spans="1:15" ht="90">
      <c r="A291" s="241">
        <v>1</v>
      </c>
      <c r="B291" s="292" t="s">
        <v>613</v>
      </c>
      <c r="C291" s="149"/>
      <c r="D291" s="149"/>
      <c r="E291" s="237"/>
      <c r="F291" s="248">
        <v>0.18</v>
      </c>
      <c r="G291" s="238"/>
      <c r="H291" s="304" t="s">
        <v>614</v>
      </c>
      <c r="I291" s="303" t="s">
        <v>615</v>
      </c>
      <c r="J291" s="303">
        <v>107</v>
      </c>
      <c r="K291" s="305">
        <v>1467</v>
      </c>
      <c r="L291" s="146">
        <v>0.12</v>
      </c>
      <c r="M291" s="147">
        <f>ROUND(K291/(1+L291),2)</f>
        <v>1309.82</v>
      </c>
      <c r="N291" s="147">
        <f t="shared" ref="N291:N308" si="61">ROUND(M291*J291,2)</f>
        <v>140150.74</v>
      </c>
      <c r="O291" s="148">
        <f t="shared" ref="O291:O308" si="62">ROUND(N291*18%,2)</f>
        <v>25227.13</v>
      </c>
    </row>
    <row r="292" spans="1:15" ht="90">
      <c r="A292" s="241">
        <f t="shared" ref="A292:A315" si="63">+A291+1</f>
        <v>2</v>
      </c>
      <c r="B292" s="292" t="s">
        <v>616</v>
      </c>
      <c r="C292" s="149"/>
      <c r="D292" s="149"/>
      <c r="E292" s="237"/>
      <c r="F292" s="248">
        <v>0.18</v>
      </c>
      <c r="G292" s="238"/>
      <c r="H292" s="304" t="s">
        <v>617</v>
      </c>
      <c r="I292" s="295" t="s">
        <v>615</v>
      </c>
      <c r="J292" s="293">
        <v>194</v>
      </c>
      <c r="K292" s="290">
        <v>858</v>
      </c>
      <c r="L292" s="146">
        <v>0.12</v>
      </c>
      <c r="M292" s="147">
        <f t="shared" ref="M292:M308" si="64">ROUND(K292/(1+L292),2)</f>
        <v>766.07</v>
      </c>
      <c r="N292" s="147">
        <f t="shared" si="61"/>
        <v>148617.57999999999</v>
      </c>
      <c r="O292" s="148">
        <f t="shared" si="62"/>
        <v>26751.16</v>
      </c>
    </row>
    <row r="293" spans="1:15" ht="75">
      <c r="A293" s="241">
        <f t="shared" si="63"/>
        <v>3</v>
      </c>
      <c r="B293" s="292">
        <v>1.1100000000000001</v>
      </c>
      <c r="C293" s="149"/>
      <c r="D293" s="149"/>
      <c r="E293" s="237"/>
      <c r="F293" s="248">
        <v>0.18</v>
      </c>
      <c r="G293" s="238"/>
      <c r="H293" s="304" t="s">
        <v>618</v>
      </c>
      <c r="I293" s="295" t="s">
        <v>615</v>
      </c>
      <c r="J293" s="293">
        <v>4</v>
      </c>
      <c r="K293" s="290">
        <v>1562</v>
      </c>
      <c r="L293" s="146">
        <v>0.12</v>
      </c>
      <c r="M293" s="147">
        <f t="shared" si="64"/>
        <v>1394.64</v>
      </c>
      <c r="N293" s="147">
        <f t="shared" si="61"/>
        <v>5578.56</v>
      </c>
      <c r="O293" s="148">
        <f t="shared" si="62"/>
        <v>1004.14</v>
      </c>
    </row>
    <row r="294" spans="1:15" ht="60">
      <c r="A294" s="241">
        <f t="shared" si="63"/>
        <v>4</v>
      </c>
      <c r="B294" s="292" t="s">
        <v>619</v>
      </c>
      <c r="C294" s="149"/>
      <c r="D294" s="149"/>
      <c r="E294" s="237"/>
      <c r="F294" s="248">
        <v>0.18</v>
      </c>
      <c r="G294" s="238"/>
      <c r="H294" s="304" t="s">
        <v>620</v>
      </c>
      <c r="I294" s="295" t="s">
        <v>284</v>
      </c>
      <c r="J294" s="293">
        <v>1255</v>
      </c>
      <c r="K294" s="290">
        <v>275</v>
      </c>
      <c r="L294" s="146">
        <v>0.12</v>
      </c>
      <c r="M294" s="147">
        <f t="shared" si="64"/>
        <v>245.54</v>
      </c>
      <c r="N294" s="147">
        <f t="shared" si="61"/>
        <v>308152.7</v>
      </c>
      <c r="O294" s="148">
        <f t="shared" si="62"/>
        <v>55467.49</v>
      </c>
    </row>
    <row r="295" spans="1:15" ht="60">
      <c r="A295" s="241">
        <f t="shared" si="63"/>
        <v>5</v>
      </c>
      <c r="B295" s="292" t="s">
        <v>621</v>
      </c>
      <c r="C295" s="149"/>
      <c r="D295" s="149"/>
      <c r="E295" s="237"/>
      <c r="F295" s="248">
        <v>0.18</v>
      </c>
      <c r="G295" s="238"/>
      <c r="H295" s="304" t="s">
        <v>622</v>
      </c>
      <c r="I295" s="295" t="s">
        <v>284</v>
      </c>
      <c r="J295" s="293">
        <v>515</v>
      </c>
      <c r="K295" s="290">
        <v>334</v>
      </c>
      <c r="L295" s="146">
        <v>0.12</v>
      </c>
      <c r="M295" s="147">
        <f t="shared" si="64"/>
        <v>298.20999999999998</v>
      </c>
      <c r="N295" s="147">
        <f t="shared" si="61"/>
        <v>153578.15</v>
      </c>
      <c r="O295" s="148">
        <f t="shared" si="62"/>
        <v>27644.07</v>
      </c>
    </row>
    <row r="296" spans="1:15" ht="60">
      <c r="A296" s="241">
        <f>+A295+1</f>
        <v>6</v>
      </c>
      <c r="B296" s="292" t="s">
        <v>623</v>
      </c>
      <c r="C296" s="149"/>
      <c r="D296" s="149"/>
      <c r="E296" s="237"/>
      <c r="F296" s="248">
        <v>0.18</v>
      </c>
      <c r="G296" s="238"/>
      <c r="H296" s="304" t="s">
        <v>624</v>
      </c>
      <c r="I296" s="295" t="s">
        <v>284</v>
      </c>
      <c r="J296" s="293">
        <v>231</v>
      </c>
      <c r="K296" s="290">
        <v>439</v>
      </c>
      <c r="L296" s="146">
        <v>0.12</v>
      </c>
      <c r="M296" s="147">
        <f t="shared" si="64"/>
        <v>391.96</v>
      </c>
      <c r="N296" s="147">
        <f t="shared" si="61"/>
        <v>90542.76</v>
      </c>
      <c r="O296" s="148">
        <f t="shared" si="62"/>
        <v>16297.7</v>
      </c>
    </row>
    <row r="297" spans="1:15" ht="60">
      <c r="A297" s="241">
        <f>+A296+1</f>
        <v>7</v>
      </c>
      <c r="B297" s="292" t="s">
        <v>625</v>
      </c>
      <c r="C297" s="149"/>
      <c r="D297" s="149"/>
      <c r="E297" s="237"/>
      <c r="F297" s="248">
        <v>0.18</v>
      </c>
      <c r="G297" s="238"/>
      <c r="H297" s="304" t="s">
        <v>626</v>
      </c>
      <c r="I297" s="295" t="s">
        <v>359</v>
      </c>
      <c r="J297" s="293">
        <v>23</v>
      </c>
      <c r="K297" s="290">
        <v>103</v>
      </c>
      <c r="L297" s="146">
        <v>0.12</v>
      </c>
      <c r="M297" s="147">
        <f t="shared" si="64"/>
        <v>91.96</v>
      </c>
      <c r="N297" s="147">
        <f t="shared" si="61"/>
        <v>2115.08</v>
      </c>
      <c r="O297" s="148">
        <f t="shared" si="62"/>
        <v>380.71</v>
      </c>
    </row>
    <row r="298" spans="1:15" ht="60">
      <c r="A298" s="241">
        <f t="shared" si="63"/>
        <v>8</v>
      </c>
      <c r="B298" s="292" t="s">
        <v>627</v>
      </c>
      <c r="C298" s="149"/>
      <c r="D298" s="149"/>
      <c r="E298" s="237"/>
      <c r="F298" s="248">
        <v>0.18</v>
      </c>
      <c r="G298" s="238"/>
      <c r="H298" s="304" t="s">
        <v>628</v>
      </c>
      <c r="I298" s="295" t="s">
        <v>359</v>
      </c>
      <c r="J298" s="293">
        <v>18</v>
      </c>
      <c r="K298" s="290">
        <v>156</v>
      </c>
      <c r="L298" s="146">
        <v>0.12</v>
      </c>
      <c r="M298" s="147">
        <f t="shared" si="64"/>
        <v>139.29</v>
      </c>
      <c r="N298" s="147">
        <f t="shared" si="61"/>
        <v>2507.2199999999998</v>
      </c>
      <c r="O298" s="148">
        <f t="shared" si="62"/>
        <v>451.3</v>
      </c>
    </row>
    <row r="299" spans="1:15" ht="60">
      <c r="A299" s="241">
        <f t="shared" si="63"/>
        <v>9</v>
      </c>
      <c r="B299" s="292" t="s">
        <v>629</v>
      </c>
      <c r="C299" s="149"/>
      <c r="D299" s="149"/>
      <c r="E299" s="237"/>
      <c r="F299" s="248">
        <v>0.18</v>
      </c>
      <c r="G299" s="238"/>
      <c r="H299" s="304" t="s">
        <v>630</v>
      </c>
      <c r="I299" s="295" t="s">
        <v>359</v>
      </c>
      <c r="J299" s="293">
        <v>23</v>
      </c>
      <c r="K299" s="290">
        <v>122</v>
      </c>
      <c r="L299" s="146">
        <v>0.12</v>
      </c>
      <c r="M299" s="147">
        <f t="shared" si="64"/>
        <v>108.93</v>
      </c>
      <c r="N299" s="147">
        <f t="shared" si="61"/>
        <v>2505.39</v>
      </c>
      <c r="O299" s="148">
        <f t="shared" si="62"/>
        <v>450.97</v>
      </c>
    </row>
    <row r="300" spans="1:15" ht="60">
      <c r="A300" s="241">
        <f t="shared" si="63"/>
        <v>10</v>
      </c>
      <c r="B300" s="292" t="s">
        <v>631</v>
      </c>
      <c r="C300" s="149"/>
      <c r="D300" s="149"/>
      <c r="E300" s="237"/>
      <c r="F300" s="248">
        <v>0.18</v>
      </c>
      <c r="G300" s="238"/>
      <c r="H300" s="304" t="s">
        <v>632</v>
      </c>
      <c r="I300" s="295" t="s">
        <v>359</v>
      </c>
      <c r="J300" s="293">
        <v>18</v>
      </c>
      <c r="K300" s="290">
        <v>197</v>
      </c>
      <c r="L300" s="146">
        <v>0.12</v>
      </c>
      <c r="M300" s="147">
        <f t="shared" si="64"/>
        <v>175.89</v>
      </c>
      <c r="N300" s="147">
        <f t="shared" si="61"/>
        <v>3166.02</v>
      </c>
      <c r="O300" s="148">
        <f t="shared" si="62"/>
        <v>569.88</v>
      </c>
    </row>
    <row r="301" spans="1:15" ht="45">
      <c r="A301" s="241">
        <f>+A300+1</f>
        <v>11</v>
      </c>
      <c r="B301" s="292">
        <v>1.25</v>
      </c>
      <c r="C301" s="149"/>
      <c r="D301" s="149"/>
      <c r="E301" s="237"/>
      <c r="F301" s="248">
        <v>0.18</v>
      </c>
      <c r="G301" s="238"/>
      <c r="H301" s="304" t="s">
        <v>633</v>
      </c>
      <c r="I301" s="295" t="s">
        <v>359</v>
      </c>
      <c r="J301" s="293">
        <v>28</v>
      </c>
      <c r="K301" s="290">
        <v>369</v>
      </c>
      <c r="L301" s="146">
        <v>0.12</v>
      </c>
      <c r="M301" s="147">
        <f t="shared" si="64"/>
        <v>329.46</v>
      </c>
      <c r="N301" s="147">
        <f t="shared" si="61"/>
        <v>9224.8799999999992</v>
      </c>
      <c r="O301" s="148">
        <f t="shared" si="62"/>
        <v>1660.48</v>
      </c>
    </row>
    <row r="302" spans="1:15" ht="60">
      <c r="A302" s="241">
        <f t="shared" si="63"/>
        <v>12</v>
      </c>
      <c r="B302" s="292" t="s">
        <v>634</v>
      </c>
      <c r="C302" s="149"/>
      <c r="D302" s="149"/>
      <c r="E302" s="237"/>
      <c r="F302" s="248">
        <v>0.18</v>
      </c>
      <c r="G302" s="238"/>
      <c r="H302" s="304" t="s">
        <v>635</v>
      </c>
      <c r="I302" s="295" t="s">
        <v>359</v>
      </c>
      <c r="J302" s="293">
        <v>23</v>
      </c>
      <c r="K302" s="290">
        <v>298</v>
      </c>
      <c r="L302" s="146">
        <v>0.12</v>
      </c>
      <c r="M302" s="147">
        <f t="shared" si="64"/>
        <v>266.07</v>
      </c>
      <c r="N302" s="147">
        <f t="shared" si="61"/>
        <v>6119.61</v>
      </c>
      <c r="O302" s="148">
        <f t="shared" si="62"/>
        <v>1101.53</v>
      </c>
    </row>
    <row r="303" spans="1:15" ht="60">
      <c r="A303" s="241">
        <f t="shared" si="63"/>
        <v>13</v>
      </c>
      <c r="B303" s="292" t="s">
        <v>636</v>
      </c>
      <c r="C303" s="149"/>
      <c r="D303" s="149"/>
      <c r="E303" s="237"/>
      <c r="F303" s="248">
        <v>0.18</v>
      </c>
      <c r="G303" s="238"/>
      <c r="H303" s="304" t="s">
        <v>637</v>
      </c>
      <c r="I303" s="295" t="s">
        <v>359</v>
      </c>
      <c r="J303" s="293">
        <v>20</v>
      </c>
      <c r="K303" s="290">
        <v>327</v>
      </c>
      <c r="L303" s="146">
        <v>0.12</v>
      </c>
      <c r="M303" s="147">
        <f t="shared" si="64"/>
        <v>291.95999999999998</v>
      </c>
      <c r="N303" s="147">
        <f t="shared" si="61"/>
        <v>5839.2</v>
      </c>
      <c r="O303" s="148">
        <f t="shared" si="62"/>
        <v>1051.06</v>
      </c>
    </row>
    <row r="304" spans="1:15" ht="60">
      <c r="A304" s="241">
        <f t="shared" si="63"/>
        <v>14</v>
      </c>
      <c r="B304" s="292" t="s">
        <v>638</v>
      </c>
      <c r="C304" s="149"/>
      <c r="D304" s="149"/>
      <c r="E304" s="237"/>
      <c r="F304" s="248">
        <v>0.18</v>
      </c>
      <c r="G304" s="238"/>
      <c r="H304" s="304" t="s">
        <v>639</v>
      </c>
      <c r="I304" s="295" t="s">
        <v>359</v>
      </c>
      <c r="J304" s="293">
        <v>10</v>
      </c>
      <c r="K304" s="290">
        <v>343</v>
      </c>
      <c r="L304" s="146">
        <v>0.12</v>
      </c>
      <c r="M304" s="147">
        <f t="shared" si="64"/>
        <v>306.25</v>
      </c>
      <c r="N304" s="147">
        <f t="shared" si="61"/>
        <v>3062.5</v>
      </c>
      <c r="O304" s="148">
        <f t="shared" si="62"/>
        <v>551.25</v>
      </c>
    </row>
    <row r="305" spans="1:15" ht="60">
      <c r="A305" s="241">
        <f t="shared" si="63"/>
        <v>15</v>
      </c>
      <c r="B305" s="292" t="s">
        <v>640</v>
      </c>
      <c r="C305" s="149"/>
      <c r="D305" s="149"/>
      <c r="E305" s="237"/>
      <c r="F305" s="248">
        <v>0.18</v>
      </c>
      <c r="G305" s="238"/>
      <c r="H305" s="304" t="s">
        <v>641</v>
      </c>
      <c r="I305" s="295" t="s">
        <v>359</v>
      </c>
      <c r="J305" s="293">
        <v>3</v>
      </c>
      <c r="K305" s="290">
        <v>402</v>
      </c>
      <c r="L305" s="146">
        <v>0.12</v>
      </c>
      <c r="M305" s="147">
        <f t="shared" si="64"/>
        <v>358.93</v>
      </c>
      <c r="N305" s="147">
        <f t="shared" si="61"/>
        <v>1076.79</v>
      </c>
      <c r="O305" s="148">
        <f t="shared" si="62"/>
        <v>193.82</v>
      </c>
    </row>
    <row r="306" spans="1:15" ht="90">
      <c r="A306" s="241">
        <f t="shared" si="63"/>
        <v>16</v>
      </c>
      <c r="B306" s="292" t="s">
        <v>642</v>
      </c>
      <c r="C306" s="149"/>
      <c r="D306" s="149"/>
      <c r="E306" s="237"/>
      <c r="F306" s="248">
        <v>0.18</v>
      </c>
      <c r="G306" s="238"/>
      <c r="H306" s="304" t="s">
        <v>643</v>
      </c>
      <c r="I306" s="295" t="s">
        <v>359</v>
      </c>
      <c r="J306" s="293">
        <v>5</v>
      </c>
      <c r="K306" s="290">
        <v>2315</v>
      </c>
      <c r="L306" s="146">
        <v>0.12</v>
      </c>
      <c r="M306" s="147">
        <f t="shared" si="64"/>
        <v>2066.96</v>
      </c>
      <c r="N306" s="147">
        <f t="shared" si="61"/>
        <v>10334.799999999999</v>
      </c>
      <c r="O306" s="148">
        <f t="shared" si="62"/>
        <v>1860.26</v>
      </c>
    </row>
    <row r="307" spans="1:15" ht="90">
      <c r="A307" s="241">
        <f t="shared" si="63"/>
        <v>17</v>
      </c>
      <c r="B307" s="292" t="s">
        <v>644</v>
      </c>
      <c r="C307" s="149"/>
      <c r="D307" s="149"/>
      <c r="E307" s="237"/>
      <c r="F307" s="248">
        <v>0.18</v>
      </c>
      <c r="G307" s="238"/>
      <c r="H307" s="304" t="s">
        <v>645</v>
      </c>
      <c r="I307" s="295" t="s">
        <v>359</v>
      </c>
      <c r="J307" s="293">
        <v>1</v>
      </c>
      <c r="K307" s="290">
        <v>5967</v>
      </c>
      <c r="L307" s="146">
        <v>0.12</v>
      </c>
      <c r="M307" s="147">
        <f t="shared" si="64"/>
        <v>5327.68</v>
      </c>
      <c r="N307" s="147">
        <f t="shared" si="61"/>
        <v>5327.68</v>
      </c>
      <c r="O307" s="148">
        <f t="shared" si="62"/>
        <v>958.98</v>
      </c>
    </row>
    <row r="308" spans="1:15" ht="75">
      <c r="A308" s="241">
        <f t="shared" si="63"/>
        <v>18</v>
      </c>
      <c r="B308" s="292" t="s">
        <v>646</v>
      </c>
      <c r="C308" s="149"/>
      <c r="D308" s="149"/>
      <c r="E308" s="237"/>
      <c r="F308" s="248">
        <v>0.18</v>
      </c>
      <c r="G308" s="238"/>
      <c r="H308" s="304" t="s">
        <v>647</v>
      </c>
      <c r="I308" s="295" t="s">
        <v>359</v>
      </c>
      <c r="J308" s="293">
        <v>68</v>
      </c>
      <c r="K308" s="290">
        <v>256</v>
      </c>
      <c r="L308" s="146">
        <v>0.12</v>
      </c>
      <c r="M308" s="147">
        <f t="shared" si="64"/>
        <v>228.57</v>
      </c>
      <c r="N308" s="147">
        <f t="shared" si="61"/>
        <v>15542.76</v>
      </c>
      <c r="O308" s="148">
        <f t="shared" si="62"/>
        <v>2797.7</v>
      </c>
    </row>
    <row r="309" spans="1:15" ht="75">
      <c r="A309" s="241">
        <f t="shared" si="63"/>
        <v>19</v>
      </c>
      <c r="B309" s="292" t="s">
        <v>648</v>
      </c>
      <c r="C309" s="149"/>
      <c r="D309" s="149"/>
      <c r="E309" s="237"/>
      <c r="F309" s="248">
        <v>0.18</v>
      </c>
      <c r="G309" s="238"/>
      <c r="H309" s="304" t="s">
        <v>649</v>
      </c>
      <c r="I309" s="295" t="s">
        <v>359</v>
      </c>
      <c r="J309" s="293">
        <v>2</v>
      </c>
      <c r="K309" s="290">
        <v>656</v>
      </c>
      <c r="L309" s="146">
        <v>0.12</v>
      </c>
      <c r="M309" s="147">
        <f t="shared" ref="M309:M315" si="65">ROUND(K309/(1+L309),2)</f>
        <v>585.71</v>
      </c>
      <c r="N309" s="147">
        <f t="shared" ref="N309:N315" si="66">ROUND(M309*J309,2)</f>
        <v>1171.42</v>
      </c>
      <c r="O309" s="148">
        <f t="shared" ref="O309:O315" si="67">ROUND(N309*18%,2)</f>
        <v>210.86</v>
      </c>
    </row>
    <row r="310" spans="1:15" ht="60">
      <c r="A310" s="241">
        <f t="shared" si="63"/>
        <v>20</v>
      </c>
      <c r="B310" s="292" t="s">
        <v>650</v>
      </c>
      <c r="C310" s="149"/>
      <c r="D310" s="149"/>
      <c r="E310" s="237"/>
      <c r="F310" s="248">
        <v>0.18</v>
      </c>
      <c r="G310" s="238"/>
      <c r="H310" s="304" t="s">
        <v>651</v>
      </c>
      <c r="I310" s="295" t="s">
        <v>359</v>
      </c>
      <c r="J310" s="293">
        <v>3</v>
      </c>
      <c r="K310" s="290">
        <v>435</v>
      </c>
      <c r="L310" s="146">
        <v>0.12</v>
      </c>
      <c r="M310" s="147">
        <f t="shared" si="65"/>
        <v>388.39</v>
      </c>
      <c r="N310" s="147">
        <f t="shared" si="66"/>
        <v>1165.17</v>
      </c>
      <c r="O310" s="148">
        <f t="shared" si="67"/>
        <v>209.73</v>
      </c>
    </row>
    <row r="311" spans="1:15" ht="75">
      <c r="A311" s="241">
        <f t="shared" si="63"/>
        <v>21</v>
      </c>
      <c r="B311" s="292" t="s">
        <v>652</v>
      </c>
      <c r="C311" s="149"/>
      <c r="D311" s="149"/>
      <c r="E311" s="237"/>
      <c r="F311" s="248">
        <v>0.18</v>
      </c>
      <c r="G311" s="238"/>
      <c r="H311" s="304" t="s">
        <v>653</v>
      </c>
      <c r="I311" s="295" t="s">
        <v>359</v>
      </c>
      <c r="J311" s="293">
        <v>1</v>
      </c>
      <c r="K311" s="290">
        <v>2028</v>
      </c>
      <c r="L311" s="146">
        <v>0.12</v>
      </c>
      <c r="M311" s="147">
        <f t="shared" si="65"/>
        <v>1810.71</v>
      </c>
      <c r="N311" s="147">
        <f t="shared" si="66"/>
        <v>1810.71</v>
      </c>
      <c r="O311" s="148">
        <f t="shared" si="67"/>
        <v>325.93</v>
      </c>
    </row>
    <row r="312" spans="1:15" ht="75">
      <c r="A312" s="241">
        <f t="shared" si="63"/>
        <v>22</v>
      </c>
      <c r="B312" s="292" t="s">
        <v>654</v>
      </c>
      <c r="C312" s="149"/>
      <c r="D312" s="149"/>
      <c r="E312" s="237"/>
      <c r="F312" s="248">
        <v>0.18</v>
      </c>
      <c r="G312" s="238"/>
      <c r="H312" s="304" t="s">
        <v>655</v>
      </c>
      <c r="I312" s="295" t="s">
        <v>359</v>
      </c>
      <c r="J312" s="293">
        <v>4</v>
      </c>
      <c r="K312" s="290">
        <v>2642</v>
      </c>
      <c r="L312" s="146">
        <v>0.12</v>
      </c>
      <c r="M312" s="147">
        <f t="shared" si="65"/>
        <v>2358.9299999999998</v>
      </c>
      <c r="N312" s="147">
        <f t="shared" si="66"/>
        <v>9435.7199999999993</v>
      </c>
      <c r="O312" s="148">
        <f t="shared" si="67"/>
        <v>1698.43</v>
      </c>
    </row>
    <row r="313" spans="1:15" ht="75">
      <c r="A313" s="241">
        <f t="shared" si="63"/>
        <v>23</v>
      </c>
      <c r="B313" s="292" t="s">
        <v>656</v>
      </c>
      <c r="C313" s="149"/>
      <c r="D313" s="149"/>
      <c r="E313" s="237"/>
      <c r="F313" s="248">
        <v>0.18</v>
      </c>
      <c r="G313" s="238"/>
      <c r="H313" s="304" t="s">
        <v>657</v>
      </c>
      <c r="I313" s="295" t="s">
        <v>359</v>
      </c>
      <c r="J313" s="293">
        <v>3</v>
      </c>
      <c r="K313" s="290">
        <v>2722</v>
      </c>
      <c r="L313" s="146">
        <v>0.12</v>
      </c>
      <c r="M313" s="147">
        <f t="shared" si="65"/>
        <v>2430.36</v>
      </c>
      <c r="N313" s="147">
        <f t="shared" si="66"/>
        <v>7291.08</v>
      </c>
      <c r="O313" s="148">
        <f t="shared" si="67"/>
        <v>1312.39</v>
      </c>
    </row>
    <row r="314" spans="1:15" ht="60">
      <c r="A314" s="241">
        <f t="shared" si="63"/>
        <v>24</v>
      </c>
      <c r="B314" s="292" t="s">
        <v>658</v>
      </c>
      <c r="C314" s="149"/>
      <c r="D314" s="149"/>
      <c r="E314" s="237"/>
      <c r="F314" s="248">
        <v>0.18</v>
      </c>
      <c r="G314" s="238"/>
      <c r="H314" s="304" t="s">
        <v>659</v>
      </c>
      <c r="I314" s="295" t="s">
        <v>359</v>
      </c>
      <c r="J314" s="293">
        <v>3</v>
      </c>
      <c r="K314" s="290">
        <v>1034</v>
      </c>
      <c r="L314" s="146">
        <v>0.12</v>
      </c>
      <c r="M314" s="147">
        <f t="shared" si="65"/>
        <v>923.21</v>
      </c>
      <c r="N314" s="147">
        <f t="shared" si="66"/>
        <v>2769.63</v>
      </c>
      <c r="O314" s="148">
        <f t="shared" si="67"/>
        <v>498.53</v>
      </c>
    </row>
    <row r="315" spans="1:15" ht="60">
      <c r="A315" s="241">
        <f t="shared" si="63"/>
        <v>25</v>
      </c>
      <c r="B315" s="292" t="s">
        <v>660</v>
      </c>
      <c r="C315" s="149"/>
      <c r="D315" s="149"/>
      <c r="E315" s="237"/>
      <c r="F315" s="248">
        <v>0.18</v>
      </c>
      <c r="G315" s="238"/>
      <c r="H315" s="304" t="s">
        <v>661</v>
      </c>
      <c r="I315" s="295" t="s">
        <v>359</v>
      </c>
      <c r="J315" s="293">
        <v>2</v>
      </c>
      <c r="K315" s="290">
        <v>588</v>
      </c>
      <c r="L315" s="146">
        <v>0.12</v>
      </c>
      <c r="M315" s="147">
        <f t="shared" si="65"/>
        <v>525</v>
      </c>
      <c r="N315" s="147">
        <f t="shared" si="66"/>
        <v>1050</v>
      </c>
      <c r="O315" s="148">
        <f t="shared" si="67"/>
        <v>189</v>
      </c>
    </row>
    <row r="316" spans="1:15" ht="36">
      <c r="A316" s="257"/>
      <c r="B316" s="258"/>
      <c r="C316" s="259"/>
      <c r="D316" s="260"/>
      <c r="E316" s="261"/>
      <c r="F316" s="262"/>
      <c r="G316" s="263"/>
      <c r="H316" s="264" t="s">
        <v>662</v>
      </c>
      <c r="I316" s="299"/>
      <c r="J316" s="265"/>
      <c r="K316" s="266"/>
      <c r="L316" s="267"/>
      <c r="M316" s="266"/>
      <c r="N316" s="268">
        <f>+SUM(N291:N315)</f>
        <v>938136.15</v>
      </c>
      <c r="O316" s="268">
        <f>+SUM(O291:O315)</f>
        <v>168864.50000000003</v>
      </c>
    </row>
    <row r="317" spans="1:15" ht="36">
      <c r="A317" s="217"/>
      <c r="B317" s="211" t="s">
        <v>611</v>
      </c>
      <c r="C317" s="212"/>
      <c r="D317" s="213"/>
      <c r="E317" s="214"/>
      <c r="F317" s="215"/>
      <c r="G317" s="216"/>
      <c r="H317" s="242" t="s">
        <v>663</v>
      </c>
      <c r="I317" s="298"/>
      <c r="J317" s="218"/>
      <c r="K317" s="291"/>
      <c r="L317" s="220"/>
      <c r="M317" s="219"/>
      <c r="N317" s="219"/>
      <c r="O317" s="218"/>
    </row>
    <row r="318" spans="1:15" ht="94.5">
      <c r="A318" s="241">
        <v>1</v>
      </c>
      <c r="B318" s="342" t="s">
        <v>613</v>
      </c>
      <c r="C318" s="149"/>
      <c r="D318" s="149"/>
      <c r="E318" s="237"/>
      <c r="F318" s="248">
        <v>0.18</v>
      </c>
      <c r="G318" s="238"/>
      <c r="H318" s="344" t="s">
        <v>614</v>
      </c>
      <c r="I318" s="347" t="s">
        <v>615</v>
      </c>
      <c r="J318" s="303">
        <v>147</v>
      </c>
      <c r="K318" s="341">
        <v>1467</v>
      </c>
      <c r="L318" s="146">
        <v>0.12</v>
      </c>
      <c r="M318" s="147">
        <f t="shared" ref="M318" si="68">ROUND(K318/(1+L318),2)</f>
        <v>1309.82</v>
      </c>
      <c r="N318" s="147">
        <f t="shared" ref="N318" si="69">ROUND(M318*J318,2)</f>
        <v>192543.54</v>
      </c>
      <c r="O318" s="148">
        <f t="shared" ref="O318" si="70">ROUND(N318*18%,2)</f>
        <v>34657.839999999997</v>
      </c>
    </row>
    <row r="319" spans="1:15" ht="94.5">
      <c r="A319" s="241">
        <v>2</v>
      </c>
      <c r="B319" s="342" t="s">
        <v>616</v>
      </c>
      <c r="C319" s="149"/>
      <c r="D319" s="149"/>
      <c r="E319" s="237"/>
      <c r="F319" s="248">
        <v>0.18</v>
      </c>
      <c r="G319" s="238"/>
      <c r="H319" s="344" t="s">
        <v>617</v>
      </c>
      <c r="I319" s="347" t="s">
        <v>615</v>
      </c>
      <c r="J319" s="303">
        <v>90</v>
      </c>
      <c r="K319" s="341">
        <v>858</v>
      </c>
      <c r="L319" s="146">
        <v>0.12</v>
      </c>
      <c r="M319" s="147">
        <f t="shared" ref="M319:M345" si="71">ROUND(K319/(1+L319),2)</f>
        <v>766.07</v>
      </c>
      <c r="N319" s="147">
        <f t="shared" ref="N319:N345" si="72">ROUND(M319*J319,2)</f>
        <v>68946.3</v>
      </c>
      <c r="O319" s="148">
        <f t="shared" ref="O319:O345" si="73">ROUND(N319*18%,2)</f>
        <v>12410.33</v>
      </c>
    </row>
    <row r="320" spans="1:15" ht="78.75">
      <c r="A320" s="241">
        <v>3</v>
      </c>
      <c r="B320" s="342">
        <v>1.1100000000000001</v>
      </c>
      <c r="C320" s="149"/>
      <c r="D320" s="149"/>
      <c r="E320" s="237"/>
      <c r="F320" s="248">
        <v>0.18</v>
      </c>
      <c r="G320" s="238"/>
      <c r="H320" s="344" t="s">
        <v>618</v>
      </c>
      <c r="I320" s="347" t="s">
        <v>615</v>
      </c>
      <c r="J320" s="303">
        <v>9</v>
      </c>
      <c r="K320" s="341">
        <v>1562</v>
      </c>
      <c r="L320" s="146">
        <v>0.12</v>
      </c>
      <c r="M320" s="147">
        <f t="shared" si="71"/>
        <v>1394.64</v>
      </c>
      <c r="N320" s="147">
        <f t="shared" si="72"/>
        <v>12551.76</v>
      </c>
      <c r="O320" s="148">
        <f t="shared" si="73"/>
        <v>2259.3200000000002</v>
      </c>
    </row>
    <row r="321" spans="1:15" ht="63">
      <c r="A321" s="241">
        <v>4</v>
      </c>
      <c r="B321" s="343" t="s">
        <v>619</v>
      </c>
      <c r="C321" s="149"/>
      <c r="D321" s="149"/>
      <c r="E321" s="237"/>
      <c r="F321" s="248">
        <v>0.18</v>
      </c>
      <c r="G321" s="238"/>
      <c r="H321" s="345" t="s">
        <v>620</v>
      </c>
      <c r="I321" s="348" t="s">
        <v>284</v>
      </c>
      <c r="J321" s="303">
        <v>935</v>
      </c>
      <c r="K321" s="341">
        <v>275</v>
      </c>
      <c r="L321" s="146">
        <v>0.12</v>
      </c>
      <c r="M321" s="147">
        <f t="shared" si="71"/>
        <v>245.54</v>
      </c>
      <c r="N321" s="147">
        <f t="shared" si="72"/>
        <v>229579.9</v>
      </c>
      <c r="O321" s="148">
        <f t="shared" si="73"/>
        <v>41324.379999999997</v>
      </c>
    </row>
    <row r="322" spans="1:15" ht="63">
      <c r="A322" s="241">
        <v>5</v>
      </c>
      <c r="B322" s="342" t="s">
        <v>621</v>
      </c>
      <c r="C322" s="149"/>
      <c r="D322" s="149"/>
      <c r="E322" s="237"/>
      <c r="F322" s="248">
        <v>0.18</v>
      </c>
      <c r="G322" s="238"/>
      <c r="H322" s="345" t="s">
        <v>622</v>
      </c>
      <c r="I322" s="348" t="s">
        <v>284</v>
      </c>
      <c r="J322" s="303">
        <v>599</v>
      </c>
      <c r="K322" s="341">
        <v>334</v>
      </c>
      <c r="L322" s="146">
        <v>0.12</v>
      </c>
      <c r="M322" s="147">
        <f t="shared" si="71"/>
        <v>298.20999999999998</v>
      </c>
      <c r="N322" s="147">
        <f t="shared" si="72"/>
        <v>178627.79</v>
      </c>
      <c r="O322" s="148">
        <f t="shared" si="73"/>
        <v>32153</v>
      </c>
    </row>
    <row r="323" spans="1:15" ht="47.25">
      <c r="A323" s="241">
        <v>6</v>
      </c>
      <c r="B323" s="342" t="s">
        <v>664</v>
      </c>
      <c r="C323" s="149"/>
      <c r="D323" s="149"/>
      <c r="E323" s="237"/>
      <c r="F323" s="248">
        <v>0.18</v>
      </c>
      <c r="G323" s="238"/>
      <c r="H323" s="346" t="s">
        <v>665</v>
      </c>
      <c r="I323" s="348" t="s">
        <v>284</v>
      </c>
      <c r="J323" s="303">
        <v>431</v>
      </c>
      <c r="K323" s="341">
        <v>57</v>
      </c>
      <c r="L323" s="146">
        <v>0.12</v>
      </c>
      <c r="M323" s="147">
        <f t="shared" si="71"/>
        <v>50.89</v>
      </c>
      <c r="N323" s="147">
        <f t="shared" si="72"/>
        <v>21933.59</v>
      </c>
      <c r="O323" s="148">
        <f t="shared" si="73"/>
        <v>3948.05</v>
      </c>
    </row>
    <row r="324" spans="1:15" ht="63">
      <c r="A324" s="241">
        <v>7</v>
      </c>
      <c r="B324" s="342" t="s">
        <v>666</v>
      </c>
      <c r="C324" s="149"/>
      <c r="D324" s="149"/>
      <c r="E324" s="237"/>
      <c r="F324" s="248">
        <v>0.18</v>
      </c>
      <c r="G324" s="238"/>
      <c r="H324" s="346" t="s">
        <v>667</v>
      </c>
      <c r="I324" s="348" t="s">
        <v>284</v>
      </c>
      <c r="J324" s="303">
        <v>357</v>
      </c>
      <c r="K324" s="341">
        <v>38</v>
      </c>
      <c r="L324" s="146">
        <v>0.12</v>
      </c>
      <c r="M324" s="147">
        <f t="shared" si="71"/>
        <v>33.93</v>
      </c>
      <c r="N324" s="147">
        <f t="shared" si="72"/>
        <v>12113.01</v>
      </c>
      <c r="O324" s="148">
        <f t="shared" si="73"/>
        <v>2180.34</v>
      </c>
    </row>
    <row r="325" spans="1:15" ht="63">
      <c r="A325" s="241">
        <v>8</v>
      </c>
      <c r="B325" s="342">
        <v>1.19</v>
      </c>
      <c r="C325" s="149"/>
      <c r="D325" s="149"/>
      <c r="E325" s="237"/>
      <c r="F325" s="248">
        <v>0.18</v>
      </c>
      <c r="G325" s="238"/>
      <c r="H325" s="346" t="s">
        <v>668</v>
      </c>
      <c r="I325" s="348" t="s">
        <v>284</v>
      </c>
      <c r="J325" s="303">
        <v>63</v>
      </c>
      <c r="K325" s="341">
        <v>47</v>
      </c>
      <c r="L325" s="146">
        <v>0.12</v>
      </c>
      <c r="M325" s="147">
        <f t="shared" si="71"/>
        <v>41.96</v>
      </c>
      <c r="N325" s="147">
        <f t="shared" si="72"/>
        <v>2643.48</v>
      </c>
      <c r="O325" s="148">
        <f t="shared" si="73"/>
        <v>475.83</v>
      </c>
    </row>
    <row r="326" spans="1:15" ht="63">
      <c r="A326" s="241">
        <v>9</v>
      </c>
      <c r="B326" s="342" t="s">
        <v>669</v>
      </c>
      <c r="C326" s="149"/>
      <c r="D326" s="149"/>
      <c r="E326" s="237"/>
      <c r="F326" s="248">
        <v>0.18</v>
      </c>
      <c r="G326" s="238"/>
      <c r="H326" s="346" t="s">
        <v>670</v>
      </c>
      <c r="I326" s="348" t="s">
        <v>284</v>
      </c>
      <c r="J326" s="303">
        <v>641</v>
      </c>
      <c r="K326" s="341">
        <v>128</v>
      </c>
      <c r="L326" s="146">
        <v>0.12</v>
      </c>
      <c r="M326" s="147">
        <f t="shared" si="71"/>
        <v>114.29</v>
      </c>
      <c r="N326" s="147">
        <f t="shared" si="72"/>
        <v>73259.89</v>
      </c>
      <c r="O326" s="148">
        <f t="shared" si="73"/>
        <v>13186.78</v>
      </c>
    </row>
    <row r="327" spans="1:15" ht="63">
      <c r="A327" s="241">
        <v>10</v>
      </c>
      <c r="B327" s="342" t="s">
        <v>671</v>
      </c>
      <c r="C327" s="149"/>
      <c r="D327" s="149"/>
      <c r="E327" s="237"/>
      <c r="F327" s="248">
        <v>0.18</v>
      </c>
      <c r="G327" s="238"/>
      <c r="H327" s="346" t="s">
        <v>672</v>
      </c>
      <c r="I327" s="348" t="s">
        <v>284</v>
      </c>
      <c r="J327" s="303">
        <v>588</v>
      </c>
      <c r="K327" s="341">
        <v>145</v>
      </c>
      <c r="L327" s="146">
        <v>0.12</v>
      </c>
      <c r="M327" s="147">
        <f t="shared" si="71"/>
        <v>129.46</v>
      </c>
      <c r="N327" s="147">
        <f t="shared" si="72"/>
        <v>76122.48</v>
      </c>
      <c r="O327" s="148">
        <f t="shared" si="73"/>
        <v>13702.05</v>
      </c>
    </row>
    <row r="328" spans="1:15" ht="63">
      <c r="A328" s="241">
        <v>11</v>
      </c>
      <c r="B328" s="349" t="s">
        <v>625</v>
      </c>
      <c r="C328" s="149"/>
      <c r="D328" s="149"/>
      <c r="E328" s="237"/>
      <c r="F328" s="248">
        <v>0.18</v>
      </c>
      <c r="G328" s="238"/>
      <c r="H328" s="350" t="s">
        <v>626</v>
      </c>
      <c r="I328" s="347" t="s">
        <v>359</v>
      </c>
      <c r="J328" s="303">
        <v>71</v>
      </c>
      <c r="K328" s="341">
        <v>103</v>
      </c>
      <c r="L328" s="146">
        <v>0.12</v>
      </c>
      <c r="M328" s="147">
        <f t="shared" si="71"/>
        <v>91.96</v>
      </c>
      <c r="N328" s="147">
        <f t="shared" si="72"/>
        <v>6529.16</v>
      </c>
      <c r="O328" s="148">
        <f t="shared" si="73"/>
        <v>1175.25</v>
      </c>
    </row>
    <row r="329" spans="1:15" ht="63">
      <c r="A329" s="241">
        <v>12</v>
      </c>
      <c r="B329" s="349" t="s">
        <v>627</v>
      </c>
      <c r="C329" s="149"/>
      <c r="D329" s="149"/>
      <c r="E329" s="237"/>
      <c r="F329" s="248">
        <v>0.18</v>
      </c>
      <c r="G329" s="238"/>
      <c r="H329" s="350" t="s">
        <v>628</v>
      </c>
      <c r="I329" s="347" t="s">
        <v>359</v>
      </c>
      <c r="J329" s="303">
        <v>33</v>
      </c>
      <c r="K329" s="341">
        <v>156</v>
      </c>
      <c r="L329" s="146">
        <v>0.12</v>
      </c>
      <c r="M329" s="147">
        <f t="shared" si="71"/>
        <v>139.29</v>
      </c>
      <c r="N329" s="147">
        <f t="shared" si="72"/>
        <v>4596.57</v>
      </c>
      <c r="O329" s="148">
        <f t="shared" si="73"/>
        <v>827.38</v>
      </c>
    </row>
    <row r="330" spans="1:15" ht="63">
      <c r="A330" s="241">
        <v>13</v>
      </c>
      <c r="B330" s="349" t="s">
        <v>629</v>
      </c>
      <c r="C330" s="149"/>
      <c r="D330" s="149"/>
      <c r="E330" s="237"/>
      <c r="F330" s="248">
        <v>0.18</v>
      </c>
      <c r="G330" s="238"/>
      <c r="H330" s="350" t="s">
        <v>630</v>
      </c>
      <c r="I330" s="347" t="s">
        <v>359</v>
      </c>
      <c r="J330" s="303">
        <v>82</v>
      </c>
      <c r="K330" s="341">
        <v>122</v>
      </c>
      <c r="L330" s="146">
        <v>0.12</v>
      </c>
      <c r="M330" s="147">
        <f t="shared" si="71"/>
        <v>108.93</v>
      </c>
      <c r="N330" s="147">
        <f t="shared" si="72"/>
        <v>8932.26</v>
      </c>
      <c r="O330" s="148">
        <f t="shared" si="73"/>
        <v>1607.81</v>
      </c>
    </row>
    <row r="331" spans="1:15" ht="63">
      <c r="A331" s="241">
        <v>14</v>
      </c>
      <c r="B331" s="349" t="s">
        <v>631</v>
      </c>
      <c r="C331" s="149"/>
      <c r="D331" s="149"/>
      <c r="E331" s="237"/>
      <c r="F331" s="248">
        <v>0.18</v>
      </c>
      <c r="G331" s="238"/>
      <c r="H331" s="350" t="s">
        <v>632</v>
      </c>
      <c r="I331" s="347" t="s">
        <v>359</v>
      </c>
      <c r="J331" s="303">
        <v>33</v>
      </c>
      <c r="K331" s="341">
        <v>197</v>
      </c>
      <c r="L331" s="146">
        <v>0.12</v>
      </c>
      <c r="M331" s="147">
        <f t="shared" si="71"/>
        <v>175.89</v>
      </c>
      <c r="N331" s="147">
        <f t="shared" si="72"/>
        <v>5804.37</v>
      </c>
      <c r="O331" s="148">
        <f t="shared" si="73"/>
        <v>1044.79</v>
      </c>
    </row>
    <row r="332" spans="1:15" ht="63">
      <c r="A332" s="241">
        <v>15</v>
      </c>
      <c r="B332" s="349" t="s">
        <v>673</v>
      </c>
      <c r="C332" s="149"/>
      <c r="D332" s="149"/>
      <c r="E332" s="237"/>
      <c r="F332" s="248">
        <v>0.18</v>
      </c>
      <c r="G332" s="238"/>
      <c r="H332" s="350" t="s">
        <v>674</v>
      </c>
      <c r="I332" s="347" t="s">
        <v>359</v>
      </c>
      <c r="J332" s="303">
        <v>13</v>
      </c>
      <c r="K332" s="341">
        <v>148</v>
      </c>
      <c r="L332" s="146">
        <v>0.12</v>
      </c>
      <c r="M332" s="147">
        <f t="shared" si="71"/>
        <v>132.13999999999999</v>
      </c>
      <c r="N332" s="147">
        <f t="shared" si="72"/>
        <v>1717.82</v>
      </c>
      <c r="O332" s="148">
        <f t="shared" si="73"/>
        <v>309.20999999999998</v>
      </c>
    </row>
    <row r="333" spans="1:15" ht="63">
      <c r="A333" s="241">
        <v>16</v>
      </c>
      <c r="B333" s="349" t="s">
        <v>675</v>
      </c>
      <c r="C333" s="149"/>
      <c r="D333" s="149"/>
      <c r="E333" s="237"/>
      <c r="F333" s="248">
        <v>0.18</v>
      </c>
      <c r="G333" s="238"/>
      <c r="H333" s="350" t="s">
        <v>676</v>
      </c>
      <c r="I333" s="347" t="s">
        <v>359</v>
      </c>
      <c r="J333" s="303">
        <v>12</v>
      </c>
      <c r="K333" s="341">
        <v>148</v>
      </c>
      <c r="L333" s="146">
        <v>0.12</v>
      </c>
      <c r="M333" s="147">
        <f t="shared" si="71"/>
        <v>132.13999999999999</v>
      </c>
      <c r="N333" s="147">
        <f t="shared" si="72"/>
        <v>1585.68</v>
      </c>
      <c r="O333" s="148">
        <f t="shared" si="73"/>
        <v>285.42</v>
      </c>
    </row>
    <row r="334" spans="1:15" ht="63">
      <c r="A334" s="241">
        <v>17</v>
      </c>
      <c r="B334" s="349" t="s">
        <v>677</v>
      </c>
      <c r="C334" s="149"/>
      <c r="D334" s="149"/>
      <c r="E334" s="237"/>
      <c r="F334" s="248">
        <v>0.18</v>
      </c>
      <c r="G334" s="238"/>
      <c r="H334" s="350" t="s">
        <v>678</v>
      </c>
      <c r="I334" s="347" t="s">
        <v>359</v>
      </c>
      <c r="J334" s="303">
        <v>9</v>
      </c>
      <c r="K334" s="341">
        <v>140</v>
      </c>
      <c r="L334" s="146">
        <v>0.12</v>
      </c>
      <c r="M334" s="147">
        <f t="shared" si="71"/>
        <v>125</v>
      </c>
      <c r="N334" s="147">
        <f t="shared" si="72"/>
        <v>1125</v>
      </c>
      <c r="O334" s="148">
        <f t="shared" si="73"/>
        <v>202.5</v>
      </c>
    </row>
    <row r="335" spans="1:15" ht="47.25">
      <c r="A335" s="241">
        <v>18</v>
      </c>
      <c r="B335" s="351">
        <v>1.25</v>
      </c>
      <c r="C335" s="149"/>
      <c r="D335" s="149"/>
      <c r="E335" s="237"/>
      <c r="F335" s="248">
        <v>0.18</v>
      </c>
      <c r="G335" s="238"/>
      <c r="H335" s="344" t="s">
        <v>633</v>
      </c>
      <c r="I335" s="347" t="s">
        <v>359</v>
      </c>
      <c r="J335" s="303">
        <v>16</v>
      </c>
      <c r="K335" s="341">
        <v>369</v>
      </c>
      <c r="L335" s="146">
        <v>0.12</v>
      </c>
      <c r="M335" s="147">
        <f t="shared" si="71"/>
        <v>329.46</v>
      </c>
      <c r="N335" s="147">
        <f t="shared" si="72"/>
        <v>5271.36</v>
      </c>
      <c r="O335" s="148">
        <f t="shared" si="73"/>
        <v>948.84</v>
      </c>
    </row>
    <row r="336" spans="1:15" ht="63">
      <c r="A336" s="241">
        <v>19</v>
      </c>
      <c r="B336" s="342" t="s">
        <v>634</v>
      </c>
      <c r="C336" s="149"/>
      <c r="D336" s="149"/>
      <c r="E336" s="237"/>
      <c r="F336" s="248">
        <v>0.18</v>
      </c>
      <c r="G336" s="238"/>
      <c r="H336" s="345" t="s">
        <v>635</v>
      </c>
      <c r="I336" s="347" t="s">
        <v>359</v>
      </c>
      <c r="J336" s="303">
        <v>17</v>
      </c>
      <c r="K336" s="341">
        <v>298</v>
      </c>
      <c r="L336" s="146">
        <v>0.12</v>
      </c>
      <c r="M336" s="147">
        <f t="shared" si="71"/>
        <v>266.07</v>
      </c>
      <c r="N336" s="147">
        <f t="shared" si="72"/>
        <v>4523.1899999999996</v>
      </c>
      <c r="O336" s="148">
        <f t="shared" si="73"/>
        <v>814.17</v>
      </c>
    </row>
    <row r="337" spans="1:16" ht="63">
      <c r="A337" s="241">
        <v>20</v>
      </c>
      <c r="B337" s="342" t="s">
        <v>636</v>
      </c>
      <c r="C337" s="149"/>
      <c r="D337" s="149"/>
      <c r="E337" s="237"/>
      <c r="F337" s="248">
        <v>0.18</v>
      </c>
      <c r="G337" s="238"/>
      <c r="H337" s="345" t="s">
        <v>637</v>
      </c>
      <c r="I337" s="347" t="s">
        <v>359</v>
      </c>
      <c r="J337" s="303">
        <v>8</v>
      </c>
      <c r="K337" s="341">
        <v>327</v>
      </c>
      <c r="L337" s="146">
        <v>0.12</v>
      </c>
      <c r="M337" s="147">
        <f t="shared" si="71"/>
        <v>291.95999999999998</v>
      </c>
      <c r="N337" s="147">
        <f t="shared" si="72"/>
        <v>2335.6799999999998</v>
      </c>
      <c r="O337" s="148">
        <f t="shared" si="73"/>
        <v>420.42</v>
      </c>
    </row>
    <row r="338" spans="1:16" ht="63">
      <c r="A338" s="241">
        <v>21</v>
      </c>
      <c r="B338" s="342" t="s">
        <v>638</v>
      </c>
      <c r="C338" s="149"/>
      <c r="D338" s="149"/>
      <c r="E338" s="237"/>
      <c r="F338" s="248">
        <v>0.18</v>
      </c>
      <c r="G338" s="238"/>
      <c r="H338" s="345" t="s">
        <v>639</v>
      </c>
      <c r="I338" s="347" t="s">
        <v>359</v>
      </c>
      <c r="J338" s="303">
        <v>5</v>
      </c>
      <c r="K338" s="341">
        <v>343</v>
      </c>
      <c r="L338" s="146">
        <v>0.12</v>
      </c>
      <c r="M338" s="147">
        <f t="shared" si="71"/>
        <v>306.25</v>
      </c>
      <c r="N338" s="147">
        <f t="shared" si="72"/>
        <v>1531.25</v>
      </c>
      <c r="O338" s="148">
        <f t="shared" si="73"/>
        <v>275.63</v>
      </c>
    </row>
    <row r="339" spans="1:16" ht="63">
      <c r="A339" s="241">
        <v>22</v>
      </c>
      <c r="B339" s="342" t="s">
        <v>640</v>
      </c>
      <c r="C339" s="149"/>
      <c r="D339" s="149"/>
      <c r="E339" s="237"/>
      <c r="F339" s="248">
        <v>0.18</v>
      </c>
      <c r="G339" s="238"/>
      <c r="H339" s="345" t="s">
        <v>641</v>
      </c>
      <c r="I339" s="347" t="s">
        <v>359</v>
      </c>
      <c r="J339" s="303">
        <v>21</v>
      </c>
      <c r="K339" s="341">
        <v>402</v>
      </c>
      <c r="L339" s="146">
        <v>0.12</v>
      </c>
      <c r="M339" s="147">
        <f t="shared" si="71"/>
        <v>358.93</v>
      </c>
      <c r="N339" s="147">
        <f t="shared" si="72"/>
        <v>7537.53</v>
      </c>
      <c r="O339" s="148">
        <f t="shared" si="73"/>
        <v>1356.76</v>
      </c>
    </row>
    <row r="340" spans="1:16" ht="63">
      <c r="A340" s="241">
        <v>23</v>
      </c>
      <c r="B340" s="352" t="s">
        <v>623</v>
      </c>
      <c r="C340" s="149"/>
      <c r="D340" s="149"/>
      <c r="E340" s="237"/>
      <c r="F340" s="248">
        <v>0.18</v>
      </c>
      <c r="G340" s="238"/>
      <c r="H340" s="345" t="s">
        <v>624</v>
      </c>
      <c r="I340" s="348" t="s">
        <v>284</v>
      </c>
      <c r="J340" s="303">
        <v>486</v>
      </c>
      <c r="K340" s="341">
        <v>439</v>
      </c>
      <c r="L340" s="146">
        <v>0.12</v>
      </c>
      <c r="M340" s="147">
        <f t="shared" si="71"/>
        <v>391.96</v>
      </c>
      <c r="N340" s="147">
        <f t="shared" si="72"/>
        <v>190492.56</v>
      </c>
      <c r="O340" s="148">
        <f t="shared" si="73"/>
        <v>34288.660000000003</v>
      </c>
    </row>
    <row r="341" spans="1:16" ht="110.25">
      <c r="A341" s="241">
        <v>24</v>
      </c>
      <c r="B341" s="352" t="s">
        <v>679</v>
      </c>
      <c r="C341" s="149"/>
      <c r="D341" s="149"/>
      <c r="E341" s="237"/>
      <c r="F341" s="248">
        <v>0.18</v>
      </c>
      <c r="G341" s="238"/>
      <c r="H341" s="353" t="s">
        <v>680</v>
      </c>
      <c r="I341" s="348" t="s">
        <v>359</v>
      </c>
      <c r="J341" s="303">
        <v>1</v>
      </c>
      <c r="K341" s="341">
        <v>12833</v>
      </c>
      <c r="L341" s="146">
        <v>0.12</v>
      </c>
      <c r="M341" s="147">
        <f t="shared" si="71"/>
        <v>11458.04</v>
      </c>
      <c r="N341" s="147">
        <f t="shared" si="72"/>
        <v>11458.04</v>
      </c>
      <c r="O341" s="148">
        <f t="shared" si="73"/>
        <v>2062.4499999999998</v>
      </c>
    </row>
    <row r="342" spans="1:16" ht="78.75">
      <c r="A342" s="241">
        <v>25</v>
      </c>
      <c r="B342" s="352" t="s">
        <v>646</v>
      </c>
      <c r="C342" s="149"/>
      <c r="D342" s="149"/>
      <c r="E342" s="237"/>
      <c r="F342" s="248">
        <v>0.18</v>
      </c>
      <c r="G342" s="238"/>
      <c r="H342" s="353" t="s">
        <v>647</v>
      </c>
      <c r="I342" s="348" t="s">
        <v>359</v>
      </c>
      <c r="J342" s="303">
        <v>36</v>
      </c>
      <c r="K342" s="341">
        <v>256</v>
      </c>
      <c r="L342" s="146">
        <v>0.12</v>
      </c>
      <c r="M342" s="147">
        <f t="shared" si="71"/>
        <v>228.57</v>
      </c>
      <c r="N342" s="147">
        <f t="shared" si="72"/>
        <v>8228.52</v>
      </c>
      <c r="O342" s="148">
        <f t="shared" si="73"/>
        <v>1481.13</v>
      </c>
    </row>
    <row r="343" spans="1:16" ht="78.75">
      <c r="A343" s="241">
        <v>26</v>
      </c>
      <c r="B343" s="352" t="s">
        <v>648</v>
      </c>
      <c r="C343" s="149"/>
      <c r="D343" s="149"/>
      <c r="E343" s="237"/>
      <c r="F343" s="248">
        <v>0.18</v>
      </c>
      <c r="G343" s="238"/>
      <c r="H343" s="353" t="s">
        <v>649</v>
      </c>
      <c r="I343" s="348" t="s">
        <v>359</v>
      </c>
      <c r="J343" s="303">
        <v>8</v>
      </c>
      <c r="K343" s="341">
        <v>656</v>
      </c>
      <c r="L343" s="146">
        <v>0.12</v>
      </c>
      <c r="M343" s="147">
        <f t="shared" si="71"/>
        <v>585.71</v>
      </c>
      <c r="N343" s="147">
        <f t="shared" si="72"/>
        <v>4685.68</v>
      </c>
      <c r="O343" s="148">
        <f t="shared" si="73"/>
        <v>843.42</v>
      </c>
    </row>
    <row r="344" spans="1:16" ht="63">
      <c r="A344" s="241">
        <v>27</v>
      </c>
      <c r="B344" s="352" t="s">
        <v>681</v>
      </c>
      <c r="C344" s="149"/>
      <c r="D344" s="149"/>
      <c r="E344" s="237"/>
      <c r="F344" s="248">
        <v>0.18</v>
      </c>
      <c r="G344" s="238"/>
      <c r="H344" s="353" t="s">
        <v>682</v>
      </c>
      <c r="I344" s="348" t="s">
        <v>359</v>
      </c>
      <c r="J344" s="303">
        <v>1</v>
      </c>
      <c r="K344" s="341">
        <v>8209</v>
      </c>
      <c r="L344" s="146">
        <v>0.12</v>
      </c>
      <c r="M344" s="147">
        <f t="shared" si="71"/>
        <v>7329.46</v>
      </c>
      <c r="N344" s="147">
        <f t="shared" si="72"/>
        <v>7329.46</v>
      </c>
      <c r="O344" s="148">
        <f t="shared" si="73"/>
        <v>1319.3</v>
      </c>
    </row>
    <row r="345" spans="1:16" ht="63">
      <c r="A345" s="241">
        <v>28</v>
      </c>
      <c r="B345" s="349" t="s">
        <v>683</v>
      </c>
      <c r="C345" s="149"/>
      <c r="D345" s="149"/>
      <c r="E345" s="237"/>
      <c r="F345" s="248">
        <v>0.18</v>
      </c>
      <c r="G345" s="238"/>
      <c r="H345" s="345" t="s">
        <v>684</v>
      </c>
      <c r="I345" s="347" t="s">
        <v>359</v>
      </c>
      <c r="J345" s="303">
        <v>2</v>
      </c>
      <c r="K345" s="341">
        <v>468</v>
      </c>
      <c r="L345" s="146">
        <v>0.12</v>
      </c>
      <c r="M345" s="147">
        <f t="shared" si="71"/>
        <v>417.86</v>
      </c>
      <c r="N345" s="147">
        <f t="shared" si="72"/>
        <v>835.72</v>
      </c>
      <c r="O345" s="148">
        <f t="shared" si="73"/>
        <v>150.43</v>
      </c>
    </row>
    <row r="346" spans="1:16" ht="36">
      <c r="A346" s="257"/>
      <c r="B346" s="258"/>
      <c r="C346" s="259"/>
      <c r="D346" s="260"/>
      <c r="E346" s="261"/>
      <c r="F346" s="262"/>
      <c r="G346" s="263"/>
      <c r="H346" s="264" t="s">
        <v>685</v>
      </c>
      <c r="I346" s="299"/>
      <c r="J346" s="265"/>
      <c r="K346" s="266"/>
      <c r="L346" s="267"/>
      <c r="M346" s="266"/>
      <c r="N346" s="268">
        <f>+SUM(N318:N345)</f>
        <v>1142841.5899999999</v>
      </c>
      <c r="O346" s="268">
        <f>+SUM(O318:O345)</f>
        <v>205711.49000000005</v>
      </c>
    </row>
    <row r="347" spans="1:16" ht="18.75">
      <c r="A347" s="257"/>
      <c r="B347" s="258"/>
      <c r="C347" s="259"/>
      <c r="D347" s="260"/>
      <c r="E347" s="261"/>
      <c r="F347" s="262"/>
      <c r="G347" s="263"/>
      <c r="H347" s="264"/>
      <c r="I347" s="299"/>
      <c r="J347" s="265"/>
      <c r="K347" s="266"/>
      <c r="L347" s="267"/>
      <c r="M347" s="266"/>
      <c r="N347" s="268"/>
      <c r="O347" s="268"/>
    </row>
    <row r="348" spans="1:16" ht="16.5">
      <c r="A348" s="416" t="s">
        <v>686</v>
      </c>
      <c r="B348" s="416"/>
      <c r="C348" s="416"/>
      <c r="D348" s="416"/>
      <c r="E348" s="416"/>
      <c r="F348" s="416"/>
      <c r="G348" s="416"/>
      <c r="H348" s="416"/>
      <c r="I348" s="416"/>
      <c r="J348" s="416"/>
      <c r="K348" s="416"/>
      <c r="L348" s="416"/>
      <c r="M348" s="416"/>
      <c r="N348" s="150">
        <f>+N316+N137+N287+N346</f>
        <v>35818426.400000006</v>
      </c>
      <c r="O348" s="150">
        <f>+O316+O137+O287+O346</f>
        <v>6447316.7600000007</v>
      </c>
      <c r="P348" s="156"/>
    </row>
    <row r="349" spans="1:16" ht="26.25">
      <c r="A349" s="417" t="s">
        <v>687</v>
      </c>
      <c r="B349" s="417"/>
      <c r="C349" s="417"/>
      <c r="D349" s="417"/>
      <c r="E349" s="417"/>
      <c r="F349" s="417"/>
      <c r="G349" s="417"/>
      <c r="H349" s="417"/>
      <c r="I349" s="417"/>
      <c r="J349" s="417"/>
      <c r="K349" s="417"/>
      <c r="L349" s="417"/>
      <c r="M349" s="417"/>
      <c r="N349" s="240"/>
      <c r="O349" s="221">
        <f>N349</f>
        <v>0</v>
      </c>
    </row>
    <row r="350" spans="1:16" ht="18.75">
      <c r="A350" s="418" t="s">
        <v>688</v>
      </c>
      <c r="B350" s="418"/>
      <c r="C350" s="418"/>
      <c r="D350" s="418"/>
      <c r="E350" s="418"/>
      <c r="F350" s="418"/>
      <c r="G350" s="418"/>
      <c r="H350" s="418"/>
      <c r="I350" s="418"/>
      <c r="J350" s="418"/>
      <c r="K350" s="418"/>
      <c r="L350" s="418"/>
      <c r="M350" s="418"/>
      <c r="N350" s="153" t="str">
        <f>IF(N349="", "",$N$348*$N$349)</f>
        <v/>
      </c>
      <c r="O350" s="150" t="str">
        <f>IF(N349="","",ROUND(N350*18%,2))</f>
        <v/>
      </c>
    </row>
    <row r="351" spans="1:16" ht="18.75">
      <c r="A351" s="419" t="s">
        <v>689</v>
      </c>
      <c r="B351" s="419"/>
      <c r="C351" s="419"/>
      <c r="D351" s="419"/>
      <c r="E351" s="419"/>
      <c r="F351" s="419"/>
      <c r="G351" s="419"/>
      <c r="H351" s="419"/>
      <c r="I351" s="419"/>
      <c r="J351" s="419"/>
      <c r="K351" s="419"/>
      <c r="L351" s="419"/>
      <c r="M351" s="419"/>
      <c r="N351" s="222" t="str">
        <f>IF(N349="", "",$N$348*(1+$N$349))</f>
        <v/>
      </c>
      <c r="O351" s="223"/>
    </row>
    <row r="352" spans="1:16" ht="18.75">
      <c r="A352" s="420" t="s">
        <v>690</v>
      </c>
      <c r="B352" s="420"/>
      <c r="C352" s="420"/>
      <c r="D352" s="420"/>
      <c r="E352" s="420"/>
      <c r="F352" s="420"/>
      <c r="G352" s="420"/>
      <c r="H352" s="420"/>
      <c r="I352" s="420"/>
      <c r="J352" s="420"/>
      <c r="K352" s="420"/>
      <c r="L352" s="420"/>
      <c r="M352" s="420"/>
      <c r="N352" s="151"/>
      <c r="O352" s="153" t="str">
        <f>IF(N350="", "",($O$348+O350))</f>
        <v/>
      </c>
    </row>
    <row r="353" spans="1:15" ht="23.25">
      <c r="A353" s="412" t="str">
        <f>IF(N349="","As the %variation w.r.t total DSR Amount cell left Blank the bid is considered as Non-responsive","Sheet OK")</f>
        <v>As the %variation w.r.t total DSR Amount cell left Blank the bid is considered as Non-responsive</v>
      </c>
      <c r="B353" s="412"/>
      <c r="C353" s="412"/>
      <c r="D353" s="412"/>
      <c r="E353" s="412"/>
      <c r="F353" s="412"/>
      <c r="G353" s="412"/>
      <c r="H353" s="412"/>
      <c r="I353" s="412"/>
      <c r="J353" s="412"/>
      <c r="K353" s="412"/>
      <c r="L353" s="412"/>
      <c r="M353" s="412"/>
      <c r="N353" s="412"/>
      <c r="O353" s="413"/>
    </row>
    <row r="354" spans="1:15">
      <c r="A354" s="139"/>
      <c r="C354" s="136"/>
      <c r="D354" s="155"/>
      <c r="E354" s="136"/>
      <c r="F354" s="136"/>
      <c r="G354" s="155"/>
      <c r="H354" s="155"/>
      <c r="J354" s="155"/>
      <c r="K354" s="155"/>
      <c r="M354" s="155"/>
    </row>
    <row r="355" spans="1:15">
      <c r="A355" s="139"/>
      <c r="C355" s="136"/>
      <c r="D355" s="155"/>
      <c r="E355" s="136"/>
      <c r="F355" s="136"/>
      <c r="G355" s="155"/>
      <c r="H355" s="155"/>
      <c r="J355" s="155"/>
      <c r="K355" s="155"/>
      <c r="M355" s="155"/>
    </row>
    <row r="356" spans="1:15">
      <c r="A356" s="139"/>
      <c r="C356" s="136"/>
      <c r="D356" s="155"/>
      <c r="E356" s="136"/>
      <c r="F356" s="136"/>
      <c r="G356" s="155"/>
      <c r="H356" s="155"/>
      <c r="J356" s="155"/>
      <c r="K356" s="155"/>
      <c r="M356" s="155"/>
      <c r="N356" s="156"/>
    </row>
    <row r="357" spans="1:15">
      <c r="A357" s="139"/>
      <c r="C357" s="136"/>
      <c r="D357" s="155"/>
      <c r="E357" s="136"/>
      <c r="F357" s="136"/>
      <c r="G357" s="155"/>
      <c r="H357" s="155"/>
      <c r="J357" s="155"/>
      <c r="K357" s="155"/>
      <c r="M357" s="155"/>
    </row>
    <row r="358" spans="1:15">
      <c r="A358" s="139"/>
      <c r="C358" s="136"/>
      <c r="D358" s="155"/>
      <c r="E358" s="136"/>
      <c r="F358" s="136"/>
      <c r="G358" s="155"/>
      <c r="H358" s="155"/>
      <c r="J358" s="155"/>
      <c r="K358" s="155"/>
      <c r="M358" s="155"/>
    </row>
    <row r="359" spans="1:15">
      <c r="A359" s="139"/>
      <c r="C359" s="136"/>
      <c r="D359" s="155"/>
      <c r="E359" s="136"/>
      <c r="F359" s="136"/>
      <c r="G359" s="155"/>
      <c r="H359" s="155"/>
      <c r="J359" s="155"/>
      <c r="K359" s="155"/>
      <c r="M359" s="155"/>
    </row>
    <row r="360" spans="1:15">
      <c r="A360" s="139"/>
      <c r="C360" s="136"/>
      <c r="D360" s="155"/>
      <c r="E360" s="136"/>
      <c r="F360" s="136"/>
      <c r="G360" s="155"/>
      <c r="H360" s="155"/>
      <c r="J360" s="155"/>
      <c r="K360" s="155"/>
      <c r="M360" s="155"/>
    </row>
    <row r="361" spans="1:15">
      <c r="A361" s="139"/>
      <c r="C361" s="136"/>
      <c r="D361" s="155"/>
      <c r="E361" s="136"/>
      <c r="F361" s="136"/>
      <c r="G361" s="155"/>
      <c r="H361" s="155"/>
      <c r="J361" s="155"/>
      <c r="K361" s="155"/>
      <c r="M361" s="155"/>
    </row>
    <row r="362" spans="1:15">
      <c r="A362" s="139"/>
      <c r="C362" s="136"/>
      <c r="D362" s="155"/>
      <c r="E362" s="136"/>
      <c r="F362" s="136"/>
      <c r="G362" s="155"/>
      <c r="H362" s="155"/>
      <c r="J362" s="155"/>
      <c r="K362" s="155"/>
      <c r="M362" s="155"/>
    </row>
    <row r="363" spans="1:15">
      <c r="A363" s="139"/>
      <c r="C363" s="136"/>
      <c r="D363" s="155"/>
      <c r="E363" s="136"/>
      <c r="F363" s="136"/>
      <c r="G363" s="155"/>
      <c r="H363" s="155"/>
      <c r="J363" s="155"/>
      <c r="K363" s="155"/>
      <c r="M363" s="155"/>
    </row>
    <row r="364" spans="1:15">
      <c r="A364" s="139"/>
      <c r="C364" s="136"/>
      <c r="D364" s="155"/>
      <c r="E364" s="136"/>
      <c r="F364" s="136"/>
      <c r="G364" s="155"/>
      <c r="H364" s="155"/>
      <c r="J364" s="155"/>
      <c r="K364" s="155"/>
      <c r="M364" s="155"/>
    </row>
    <row r="365" spans="1:15">
      <c r="A365" s="139"/>
      <c r="C365" s="136"/>
      <c r="D365" s="155"/>
      <c r="E365" s="136"/>
      <c r="F365" s="136"/>
      <c r="G365" s="155"/>
      <c r="H365" s="155"/>
      <c r="J365" s="155"/>
      <c r="K365" s="155"/>
      <c r="M365" s="155"/>
    </row>
    <row r="366" spans="1:15">
      <c r="A366" s="139"/>
      <c r="C366" s="136"/>
      <c r="D366" s="155"/>
      <c r="E366" s="136"/>
      <c r="F366" s="136"/>
      <c r="G366" s="155"/>
      <c r="H366" s="155"/>
      <c r="J366" s="155"/>
      <c r="K366" s="155"/>
      <c r="M366" s="155"/>
    </row>
    <row r="367" spans="1:15">
      <c r="A367" s="139"/>
      <c r="C367" s="136"/>
      <c r="D367" s="155"/>
      <c r="E367" s="136"/>
      <c r="F367" s="136"/>
      <c r="G367" s="155"/>
      <c r="H367" s="155"/>
      <c r="J367" s="155"/>
      <c r="K367" s="155"/>
      <c r="M367" s="155"/>
    </row>
    <row r="368" spans="1:15">
      <c r="A368" s="139"/>
      <c r="C368" s="136"/>
      <c r="D368" s="155"/>
      <c r="E368" s="136"/>
      <c r="F368" s="136"/>
      <c r="G368" s="155"/>
      <c r="H368" s="155"/>
      <c r="J368" s="155"/>
      <c r="K368" s="155"/>
      <c r="M368" s="155"/>
    </row>
    <row r="369" spans="1:13">
      <c r="A369" s="139"/>
      <c r="C369" s="136"/>
      <c r="D369" s="155"/>
      <c r="E369" s="136"/>
      <c r="F369" s="136"/>
      <c r="G369" s="155"/>
      <c r="H369" s="155"/>
      <c r="J369" s="155"/>
      <c r="K369" s="155"/>
      <c r="M369" s="155"/>
    </row>
    <row r="370" spans="1:13">
      <c r="A370" s="139"/>
      <c r="C370" s="136"/>
      <c r="D370" s="155"/>
      <c r="E370" s="136"/>
      <c r="F370" s="136"/>
      <c r="G370" s="155"/>
      <c r="H370" s="155"/>
      <c r="J370" s="155"/>
      <c r="K370" s="155"/>
      <c r="M370" s="155"/>
    </row>
    <row r="371" spans="1:13">
      <c r="A371" s="139"/>
      <c r="C371" s="136"/>
      <c r="D371" s="155"/>
      <c r="E371" s="136"/>
      <c r="F371" s="136"/>
      <c r="G371" s="155"/>
      <c r="H371" s="155"/>
      <c r="J371" s="155"/>
      <c r="K371" s="155"/>
      <c r="M371" s="155"/>
    </row>
    <row r="372" spans="1:13">
      <c r="A372" s="139"/>
      <c r="C372" s="136"/>
      <c r="D372" s="155"/>
      <c r="E372" s="136"/>
      <c r="F372" s="136"/>
      <c r="G372" s="155"/>
      <c r="H372" s="155"/>
      <c r="J372" s="155"/>
      <c r="K372" s="155"/>
      <c r="M372" s="155"/>
    </row>
    <row r="373" spans="1:13">
      <c r="A373" s="139"/>
      <c r="C373" s="136"/>
      <c r="D373" s="155"/>
      <c r="E373" s="136"/>
      <c r="F373" s="136"/>
      <c r="G373" s="155"/>
      <c r="H373" s="155"/>
      <c r="J373" s="155"/>
      <c r="K373" s="155"/>
      <c r="M373" s="155"/>
    </row>
    <row r="374" spans="1:13">
      <c r="A374" s="139"/>
      <c r="C374" s="136"/>
      <c r="D374" s="155"/>
      <c r="E374" s="136"/>
      <c r="F374" s="136"/>
      <c r="G374" s="155"/>
      <c r="H374" s="155"/>
      <c r="J374" s="155"/>
      <c r="K374" s="155"/>
      <c r="M374" s="155"/>
    </row>
    <row r="375" spans="1:13">
      <c r="A375" s="139"/>
      <c r="C375" s="136"/>
      <c r="D375" s="155"/>
      <c r="E375" s="136"/>
      <c r="F375" s="136"/>
      <c r="G375" s="155"/>
      <c r="H375" s="155"/>
      <c r="J375" s="155"/>
      <c r="K375" s="155"/>
      <c r="M375" s="155"/>
    </row>
    <row r="376" spans="1:13">
      <c r="A376" s="139"/>
      <c r="C376" s="136"/>
      <c r="D376" s="155"/>
      <c r="E376" s="136"/>
      <c r="F376" s="136"/>
      <c r="G376" s="155"/>
      <c r="H376" s="155"/>
      <c r="J376" s="155"/>
      <c r="K376" s="155"/>
      <c r="M376" s="155"/>
    </row>
    <row r="377" spans="1:13">
      <c r="A377" s="139"/>
      <c r="C377" s="136"/>
      <c r="D377" s="155"/>
      <c r="E377" s="136"/>
      <c r="F377" s="136"/>
      <c r="G377" s="155"/>
      <c r="H377" s="155"/>
      <c r="J377" s="155"/>
      <c r="K377" s="155"/>
      <c r="M377" s="155"/>
    </row>
    <row r="378" spans="1:13">
      <c r="A378" s="139"/>
      <c r="C378" s="136"/>
      <c r="D378" s="155"/>
      <c r="E378" s="136"/>
      <c r="F378" s="136"/>
      <c r="G378" s="155"/>
      <c r="H378" s="155"/>
      <c r="J378" s="155"/>
      <c r="K378" s="155"/>
      <c r="M378" s="155"/>
    </row>
    <row r="379" spans="1:13">
      <c r="A379" s="139"/>
      <c r="C379" s="136"/>
      <c r="D379" s="155"/>
      <c r="E379" s="136"/>
      <c r="F379" s="136"/>
      <c r="G379" s="155"/>
      <c r="H379" s="155"/>
      <c r="J379" s="155"/>
      <c r="K379" s="155"/>
      <c r="M379" s="155"/>
    </row>
    <row r="380" spans="1:13">
      <c r="A380" s="139"/>
      <c r="C380" s="136"/>
      <c r="D380" s="155"/>
      <c r="E380" s="136"/>
      <c r="F380" s="136"/>
      <c r="G380" s="155"/>
      <c r="H380" s="155"/>
      <c r="J380" s="155"/>
      <c r="K380" s="155"/>
      <c r="M380" s="155"/>
    </row>
    <row r="381" spans="1:13">
      <c r="A381" s="139"/>
      <c r="C381" s="136"/>
      <c r="D381" s="155"/>
      <c r="E381" s="136"/>
      <c r="F381" s="136"/>
      <c r="G381" s="155"/>
      <c r="H381" s="155"/>
      <c r="J381" s="155"/>
      <c r="K381" s="155"/>
      <c r="M381" s="155"/>
    </row>
    <row r="382" spans="1:13">
      <c r="A382" s="139"/>
      <c r="C382" s="136"/>
      <c r="D382" s="155"/>
      <c r="E382" s="136"/>
      <c r="F382" s="136"/>
      <c r="G382" s="155"/>
      <c r="H382" s="155"/>
      <c r="J382" s="155"/>
      <c r="K382" s="155"/>
      <c r="M382" s="155"/>
    </row>
    <row r="383" spans="1:13">
      <c r="A383" s="139"/>
      <c r="C383" s="136"/>
      <c r="D383" s="155"/>
      <c r="E383" s="136"/>
      <c r="F383" s="136"/>
      <c r="G383" s="155"/>
      <c r="H383" s="155"/>
      <c r="J383" s="155"/>
      <c r="K383" s="155"/>
      <c r="M383" s="155"/>
    </row>
    <row r="384" spans="1:13">
      <c r="A384" s="139"/>
      <c r="C384" s="136"/>
      <c r="D384" s="155"/>
      <c r="E384" s="136"/>
      <c r="F384" s="136"/>
      <c r="G384" s="155"/>
      <c r="H384" s="155"/>
      <c r="J384" s="155"/>
      <c r="K384" s="155"/>
      <c r="M384" s="155"/>
    </row>
    <row r="385" spans="1:13">
      <c r="A385" s="139"/>
      <c r="C385" s="136"/>
      <c r="D385" s="155"/>
      <c r="E385" s="136"/>
      <c r="F385" s="136"/>
      <c r="G385" s="155"/>
      <c r="H385" s="155"/>
      <c r="J385" s="155"/>
      <c r="K385" s="155"/>
      <c r="M385" s="155"/>
    </row>
    <row r="386" spans="1:13">
      <c r="A386" s="139"/>
      <c r="C386" s="136"/>
      <c r="D386" s="155"/>
      <c r="E386" s="136"/>
      <c r="F386" s="136"/>
      <c r="G386" s="155"/>
      <c r="H386" s="155"/>
      <c r="J386" s="155"/>
      <c r="K386" s="155"/>
      <c r="M386" s="155"/>
    </row>
  </sheetData>
  <sheetProtection algorithmName="SHA-512" hashValue="tXmLw0p9nEYO8IBucm7qkVDTqGYFFGeTNVZlqOpMxsLHA5R7yzosmTDnbaCdNX9ouNP32P2uOldo6lOs1oopvA==" saltValue="SmV761pNLhuJ4apLt1jqYQ==" spinCount="100000" sheet="1" objects="1" scenarios="1" formatColumns="0" formatRows="0"/>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7">
    <mergeCell ref="A1:O1"/>
    <mergeCell ref="A2:O2"/>
    <mergeCell ref="N8:O8"/>
    <mergeCell ref="C7:J7"/>
    <mergeCell ref="C4:J4"/>
    <mergeCell ref="K5:M5"/>
    <mergeCell ref="C5:J5"/>
    <mergeCell ref="C3:J3"/>
    <mergeCell ref="A353:O353"/>
    <mergeCell ref="K3:M3"/>
    <mergeCell ref="C6:J6"/>
    <mergeCell ref="K4:M4"/>
    <mergeCell ref="A348:M348"/>
    <mergeCell ref="A349:M349"/>
    <mergeCell ref="A350:M350"/>
    <mergeCell ref="A351:M351"/>
    <mergeCell ref="A352:M352"/>
  </mergeCells>
  <phoneticPr fontId="63" type="noConversion"/>
  <conditionalFormatting sqref="A353">
    <cfRule type="containsText" dxfId="9" priority="2" stopIfTrue="1" operator="containsText" text="sheet">
      <formula>NOT(ISERROR(SEARCH("sheet",A353)))</formula>
    </cfRule>
    <cfRule type="containsText" dxfId="8" priority="3" stopIfTrue="1" operator="containsText" text="responsive">
      <formula>NOT(ISERROR(SEARCH("responsive",A353)))</formula>
    </cfRule>
  </conditionalFormatting>
  <conditionalFormatting sqref="N350:N351">
    <cfRule type="containsText" dxfId="7" priority="4" stopIfTrue="1" operator="containsText" text="percentage">
      <formula>NOT(ISERROR(SEARCH("percentage",N350)))</formula>
    </cfRule>
  </conditionalFormatting>
  <conditionalFormatting sqref="O352">
    <cfRule type="containsText" dxfId="6" priority="1" stopIfTrue="1" operator="containsText" text="percentage">
      <formula>NOT(ISERROR(SEARCH("percentage",O352)))</formula>
    </cfRule>
  </conditionalFormatting>
  <dataValidations count="1">
    <dataValidation type="decimal" allowBlank="1" showInputMessage="1" showErrorMessage="1" prompt="Please Enter Percentage" sqref="N349" xr:uid="{00000000-0002-0000-0400-000000000000}">
      <formula1>-100</formula1>
      <formula2>100</formula2>
    </dataValidation>
  </dataValidations>
  <pageMargins left="0.45" right="0.45" top="0.75" bottom="0.75" header="0.3" footer="0.3"/>
  <pageSetup paperSize="9" scale="50" fitToHeight="0" orientation="landscape" r:id="rId5"/>
  <rowBreaks count="4" manualBreakCount="4">
    <brk id="27" max="14" man="1"/>
    <brk id="107" max="14" man="1"/>
    <brk id="132" max="14" man="1"/>
    <brk id="29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143"/>
  <sheetViews>
    <sheetView view="pageBreakPreview" zoomScale="78" zoomScaleNormal="80" zoomScaleSheetLayoutView="78" workbookViewId="0">
      <pane ySplit="9" topLeftCell="A134" activePane="bottomLeft" state="frozen"/>
      <selection pane="bottomLeft" activeCell="J86" sqref="J86"/>
    </sheetView>
  </sheetViews>
  <sheetFormatPr defaultRowHeight="13.5"/>
  <cols>
    <col min="1" max="1" width="5.85546875" style="158" customWidth="1"/>
    <col min="2" max="2" width="11.28515625" style="158" bestFit="1" customWidth="1"/>
    <col min="3" max="3" width="12.7109375" style="158" customWidth="1"/>
    <col min="4" max="4" width="16.5703125" style="158" customWidth="1"/>
    <col min="5" max="5" width="10.85546875" style="158" customWidth="1"/>
    <col min="6" max="6" width="19.5703125" style="158" customWidth="1"/>
    <col min="7" max="7" width="87.28515625" style="316" customWidth="1"/>
    <col min="8" max="8" width="7.7109375" style="158" customWidth="1"/>
    <col min="9" max="9" width="15" style="158" customWidth="1"/>
    <col min="10" max="10" width="21.42578125" style="158" customWidth="1"/>
    <col min="11" max="11" width="28.42578125" style="158" customWidth="1"/>
    <col min="12" max="12" width="24.85546875" style="158" customWidth="1"/>
    <col min="13" max="13" width="32.28515625" style="158" customWidth="1"/>
    <col min="14" max="15" width="32.28515625" style="158" hidden="1" customWidth="1"/>
    <col min="16" max="17" width="32.28515625" style="158" customWidth="1"/>
    <col min="18" max="31" width="9.140625" style="158" customWidth="1"/>
    <col min="32" max="16384" width="9.140625" style="158"/>
  </cols>
  <sheetData>
    <row r="1" spans="1:16" s="157" customFormat="1" ht="39" customHeight="1">
      <c r="A1" s="421" t="str">
        <f>'Name of Bidder'!A1:C1</f>
        <v>Package-B for Construction of Field Hostel and Community Center at 765/400kV Kurnool-III PS under Transmission System for evacuation of power from RE sources in Kurnool Wind Energy Zone (3000MW)/ Solar Energy Zone (1500MW) Part-A and Part-B</v>
      </c>
      <c r="B1" s="421"/>
      <c r="C1" s="421"/>
      <c r="D1" s="421"/>
      <c r="E1" s="421"/>
      <c r="F1" s="421"/>
      <c r="G1" s="421"/>
      <c r="H1" s="421"/>
      <c r="I1" s="421"/>
      <c r="J1" s="421"/>
      <c r="K1" s="421"/>
      <c r="L1" s="421"/>
      <c r="M1" s="202"/>
      <c r="N1" s="207"/>
      <c r="O1" s="207"/>
      <c r="P1" s="207"/>
    </row>
    <row r="2" spans="1:16" s="157" customFormat="1" ht="16.5" customHeight="1">
      <c r="A2" s="421" t="s">
        <v>691</v>
      </c>
      <c r="B2" s="421"/>
      <c r="C2" s="421"/>
      <c r="D2" s="421"/>
      <c r="E2" s="421"/>
      <c r="F2" s="421"/>
      <c r="G2" s="421"/>
      <c r="H2" s="421"/>
      <c r="I2" s="421"/>
      <c r="J2" s="421"/>
      <c r="K2" s="421"/>
      <c r="L2" s="421"/>
      <c r="M2" s="202"/>
      <c r="N2" s="207"/>
      <c r="O2" s="207"/>
      <c r="P2" s="207"/>
    </row>
    <row r="3" spans="1:16" ht="15.75">
      <c r="A3" s="132" t="s">
        <v>692</v>
      </c>
      <c r="B3" s="132"/>
      <c r="C3" s="132"/>
      <c r="D3" s="415">
        <f>'Name of Bidder'!C9</f>
        <v>0</v>
      </c>
      <c r="E3" s="415"/>
      <c r="F3" s="415"/>
      <c r="G3" s="415"/>
      <c r="H3" s="415"/>
      <c r="I3" s="415"/>
      <c r="J3" s="414" t="s">
        <v>243</v>
      </c>
      <c r="K3" s="414"/>
      <c r="L3" s="414"/>
      <c r="M3" s="132"/>
      <c r="N3" s="208"/>
      <c r="O3" s="208"/>
      <c r="P3" s="208"/>
    </row>
    <row r="4" spans="1:16" ht="15.75">
      <c r="A4" s="415" t="s">
        <v>16</v>
      </c>
      <c r="B4" s="415"/>
      <c r="C4" s="415"/>
      <c r="D4" s="415">
        <f>'Name of Bidder'!C10</f>
        <v>0</v>
      </c>
      <c r="E4" s="415"/>
      <c r="F4" s="415"/>
      <c r="G4" s="415"/>
      <c r="H4" s="415"/>
      <c r="I4" s="415"/>
      <c r="J4" s="414" t="s">
        <v>245</v>
      </c>
      <c r="K4" s="414"/>
      <c r="L4" s="414"/>
      <c r="M4" s="132"/>
      <c r="N4" s="208"/>
      <c r="O4" s="208"/>
      <c r="P4" s="208"/>
    </row>
    <row r="5" spans="1:16" ht="15.75">
      <c r="A5" s="132"/>
      <c r="B5" s="132"/>
      <c r="C5" s="132"/>
      <c r="D5" s="415">
        <f>'Name of Bidder'!C11</f>
        <v>0</v>
      </c>
      <c r="E5" s="415"/>
      <c r="F5" s="415"/>
      <c r="G5" s="415"/>
      <c r="H5" s="415"/>
      <c r="I5" s="415"/>
      <c r="J5" s="414" t="s">
        <v>246</v>
      </c>
      <c r="K5" s="414"/>
      <c r="L5" s="414"/>
      <c r="M5" s="132"/>
      <c r="N5" s="208"/>
      <c r="O5" s="208"/>
      <c r="P5" s="208"/>
    </row>
    <row r="6" spans="1:16" ht="15.75">
      <c r="A6" s="132"/>
      <c r="B6" s="132"/>
      <c r="C6" s="132"/>
      <c r="D6" s="415">
        <f>'Name of Bidder'!C12</f>
        <v>0</v>
      </c>
      <c r="E6" s="415"/>
      <c r="F6" s="415"/>
      <c r="G6" s="415"/>
      <c r="H6" s="415"/>
      <c r="I6" s="415"/>
      <c r="J6" s="132" t="s">
        <v>247</v>
      </c>
      <c r="K6" s="132"/>
      <c r="L6" s="132"/>
      <c r="M6" s="132"/>
      <c r="N6" s="208"/>
      <c r="O6" s="208"/>
      <c r="P6" s="208"/>
    </row>
    <row r="7" spans="1:16" ht="15.75">
      <c r="A7" s="132"/>
      <c r="B7" s="132"/>
      <c r="C7" s="132"/>
      <c r="D7" s="132"/>
      <c r="E7" s="415"/>
      <c r="F7" s="415"/>
      <c r="G7" s="415"/>
      <c r="H7" s="415"/>
      <c r="I7" s="415"/>
      <c r="J7" s="132" t="s">
        <v>248</v>
      </c>
      <c r="K7" s="132"/>
      <c r="L7" s="132"/>
      <c r="M7" s="132"/>
      <c r="N7" s="208"/>
      <c r="O7" s="208"/>
      <c r="P7" s="208"/>
    </row>
    <row r="8" spans="1:16" ht="99">
      <c r="A8" s="127" t="s">
        <v>250</v>
      </c>
      <c r="B8" s="127" t="s">
        <v>252</v>
      </c>
      <c r="C8" s="127" t="s">
        <v>693</v>
      </c>
      <c r="D8" s="128" t="s">
        <v>694</v>
      </c>
      <c r="E8" s="128" t="s">
        <v>255</v>
      </c>
      <c r="F8" s="236" t="s">
        <v>256</v>
      </c>
      <c r="G8" s="312" t="s">
        <v>695</v>
      </c>
      <c r="H8" s="127" t="s">
        <v>258</v>
      </c>
      <c r="I8" s="127" t="s">
        <v>259</v>
      </c>
      <c r="J8" s="127" t="s">
        <v>696</v>
      </c>
      <c r="K8" s="127" t="s">
        <v>697</v>
      </c>
      <c r="L8" s="127" t="s">
        <v>264</v>
      </c>
      <c r="M8" s="127" t="s">
        <v>698</v>
      </c>
      <c r="N8" s="208"/>
      <c r="O8" s="208"/>
      <c r="P8" s="209">
        <f>COUNTIF(J11:J32,"")+COUNTIF(J34:J47,"")+COUNTIF(J50:J81,"")+COUNTIF(J85:J106,"")+COUNTIF(J109:J138,"")</f>
        <v>120</v>
      </c>
    </row>
    <row r="9" spans="1:16" ht="16.5">
      <c r="A9" s="141">
        <v>1</v>
      </c>
      <c r="B9" s="141"/>
      <c r="C9" s="141">
        <v>2</v>
      </c>
      <c r="D9" s="141">
        <v>3</v>
      </c>
      <c r="E9" s="128">
        <v>4</v>
      </c>
      <c r="F9" s="128">
        <v>5</v>
      </c>
      <c r="G9" s="330">
        <v>6</v>
      </c>
      <c r="H9" s="204">
        <v>7</v>
      </c>
      <c r="I9" s="204">
        <v>8</v>
      </c>
      <c r="J9" s="204">
        <v>9</v>
      </c>
      <c r="K9" s="204" t="s">
        <v>699</v>
      </c>
      <c r="L9" s="204" t="s">
        <v>700</v>
      </c>
      <c r="M9" s="204"/>
      <c r="N9" s="208"/>
      <c r="O9" s="208"/>
      <c r="P9" s="209">
        <f>COUNTIF(I11:I138,"&gt;0")</f>
        <v>120</v>
      </c>
    </row>
    <row r="10" spans="1:16" ht="30.75" customHeight="1">
      <c r="A10" s="224" t="s">
        <v>701</v>
      </c>
      <c r="B10" s="225"/>
      <c r="C10" s="226"/>
      <c r="D10" s="226"/>
      <c r="E10" s="227"/>
      <c r="F10" s="228"/>
      <c r="G10" s="313" t="s">
        <v>702</v>
      </c>
      <c r="H10" s="229"/>
      <c r="I10" s="230"/>
      <c r="J10" s="231"/>
      <c r="K10" s="232"/>
      <c r="L10" s="232"/>
      <c r="M10" s="232"/>
      <c r="N10" s="208"/>
      <c r="O10" s="208"/>
      <c r="P10" s="209"/>
    </row>
    <row r="11" spans="1:16" ht="135">
      <c r="A11" s="149">
        <v>1</v>
      </c>
      <c r="B11" s="307" t="s">
        <v>703</v>
      </c>
      <c r="C11" s="203" t="s">
        <v>704</v>
      </c>
      <c r="D11" s="244"/>
      <c r="E11" s="210">
        <v>0.18</v>
      </c>
      <c r="F11" s="239"/>
      <c r="G11" s="314" t="s">
        <v>705</v>
      </c>
      <c r="H11" s="293" t="s">
        <v>306</v>
      </c>
      <c r="I11" s="308">
        <v>919</v>
      </c>
      <c r="J11" s="243"/>
      <c r="K11" s="247">
        <f>ROUND(J11*I11,2)</f>
        <v>0</v>
      </c>
      <c r="L11" s="205">
        <f>ROUND(K11*E11,2)</f>
        <v>0</v>
      </c>
      <c r="M11" s="206" t="str">
        <f>IF($P$9&lt;&gt;$P$8,IF(OR(J11="",J11=0),"Included in other item",""),"")</f>
        <v/>
      </c>
      <c r="N11" s="208" t="b">
        <f>ISBLANK(J11)</f>
        <v>1</v>
      </c>
      <c r="O11" s="208" t="b">
        <f>AND(N11=FALSE,J11=0)</f>
        <v>0</v>
      </c>
      <c r="P11" s="209"/>
    </row>
    <row r="12" spans="1:16" ht="63">
      <c r="A12" s="149">
        <v>2</v>
      </c>
      <c r="B12" s="307" t="s">
        <v>706</v>
      </c>
      <c r="C12" s="323" t="s">
        <v>707</v>
      </c>
      <c r="D12" s="245"/>
      <c r="E12" s="210">
        <v>0.18</v>
      </c>
      <c r="F12" s="246"/>
      <c r="G12" s="324" t="s">
        <v>708</v>
      </c>
      <c r="H12" s="325" t="s">
        <v>359</v>
      </c>
      <c r="I12" s="308">
        <v>24</v>
      </c>
      <c r="J12" s="243"/>
      <c r="K12" s="247">
        <f t="shared" ref="K12:K47" si="0">ROUND(J12*I12,2)</f>
        <v>0</v>
      </c>
      <c r="L12" s="205">
        <f t="shared" ref="L12:L47" si="1">ROUND(K12*E12,2)</f>
        <v>0</v>
      </c>
      <c r="M12" s="206" t="str">
        <f t="shared" ref="M12:M75" si="2">IF($P$9&lt;&gt;$P$8,IF(OR(J12="",J12=0),"Included in other item",""),"")</f>
        <v/>
      </c>
      <c r="N12" s="208"/>
      <c r="O12" s="208"/>
      <c r="P12" s="209"/>
    </row>
    <row r="13" spans="1:16" ht="63">
      <c r="A13" s="149">
        <v>3</v>
      </c>
      <c r="B13" s="307" t="s">
        <v>709</v>
      </c>
      <c r="C13" s="323" t="s">
        <v>710</v>
      </c>
      <c r="D13" s="245"/>
      <c r="E13" s="210">
        <v>0.18</v>
      </c>
      <c r="F13" s="246"/>
      <c r="G13" s="324" t="s">
        <v>711</v>
      </c>
      <c r="H13" s="325" t="s">
        <v>359</v>
      </c>
      <c r="I13" s="308">
        <v>20</v>
      </c>
      <c r="J13" s="243"/>
      <c r="K13" s="247">
        <f t="shared" si="0"/>
        <v>0</v>
      </c>
      <c r="L13" s="205">
        <f t="shared" si="1"/>
        <v>0</v>
      </c>
      <c r="M13" s="206" t="str">
        <f t="shared" si="2"/>
        <v/>
      </c>
      <c r="N13" s="208"/>
      <c r="O13" s="208"/>
      <c r="P13" s="209"/>
    </row>
    <row r="14" spans="1:16" ht="63">
      <c r="A14" s="149">
        <v>4</v>
      </c>
      <c r="B14" s="307" t="s">
        <v>712</v>
      </c>
      <c r="C14" s="323" t="s">
        <v>713</v>
      </c>
      <c r="D14" s="245"/>
      <c r="E14" s="210">
        <v>0.18</v>
      </c>
      <c r="F14" s="246"/>
      <c r="G14" s="324" t="s">
        <v>714</v>
      </c>
      <c r="H14" s="325" t="s">
        <v>359</v>
      </c>
      <c r="I14" s="308">
        <v>4</v>
      </c>
      <c r="J14" s="243"/>
      <c r="K14" s="247">
        <f t="shared" si="0"/>
        <v>0</v>
      </c>
      <c r="L14" s="205">
        <f t="shared" si="1"/>
        <v>0</v>
      </c>
      <c r="M14" s="206" t="str">
        <f t="shared" si="2"/>
        <v/>
      </c>
      <c r="N14" s="208"/>
      <c r="O14" s="208"/>
      <c r="P14" s="209"/>
    </row>
    <row r="15" spans="1:16" ht="237.75" customHeight="1">
      <c r="A15" s="149">
        <v>5</v>
      </c>
      <c r="B15" s="307" t="s">
        <v>715</v>
      </c>
      <c r="C15" s="323" t="s">
        <v>716</v>
      </c>
      <c r="D15" s="245"/>
      <c r="E15" s="210">
        <v>0.18</v>
      </c>
      <c r="F15" s="246"/>
      <c r="G15" s="324" t="s">
        <v>717</v>
      </c>
      <c r="H15" s="325" t="s">
        <v>306</v>
      </c>
      <c r="I15" s="327">
        <v>267</v>
      </c>
      <c r="J15" s="243"/>
      <c r="K15" s="247">
        <f t="shared" si="0"/>
        <v>0</v>
      </c>
      <c r="L15" s="205">
        <f t="shared" si="1"/>
        <v>0</v>
      </c>
      <c r="M15" s="206" t="str">
        <f t="shared" si="2"/>
        <v/>
      </c>
      <c r="N15" s="208"/>
      <c r="O15" s="208"/>
      <c r="P15" s="209"/>
    </row>
    <row r="16" spans="1:16" ht="162.75" customHeight="1">
      <c r="A16" s="149">
        <v>6</v>
      </c>
      <c r="B16" s="307" t="s">
        <v>718</v>
      </c>
      <c r="C16" s="323" t="s">
        <v>719</v>
      </c>
      <c r="D16" s="245"/>
      <c r="E16" s="210">
        <v>0.18</v>
      </c>
      <c r="F16" s="246"/>
      <c r="G16" s="324" t="s">
        <v>720</v>
      </c>
      <c r="H16" s="325" t="s">
        <v>306</v>
      </c>
      <c r="I16" s="327">
        <v>151</v>
      </c>
      <c r="J16" s="243"/>
      <c r="K16" s="247">
        <f t="shared" si="0"/>
        <v>0</v>
      </c>
      <c r="L16" s="205">
        <f t="shared" si="1"/>
        <v>0</v>
      </c>
      <c r="M16" s="206" t="str">
        <f t="shared" si="2"/>
        <v/>
      </c>
      <c r="N16" s="208"/>
      <c r="O16" s="208"/>
      <c r="P16" s="209"/>
    </row>
    <row r="17" spans="1:16" ht="300" customHeight="1">
      <c r="A17" s="149">
        <v>7</v>
      </c>
      <c r="B17" s="307" t="s">
        <v>721</v>
      </c>
      <c r="C17" s="323" t="s">
        <v>722</v>
      </c>
      <c r="D17" s="245"/>
      <c r="E17" s="210">
        <v>0.18</v>
      </c>
      <c r="F17" s="246"/>
      <c r="G17" s="324" t="s">
        <v>723</v>
      </c>
      <c r="H17" s="325" t="s">
        <v>306</v>
      </c>
      <c r="I17" s="327">
        <v>25</v>
      </c>
      <c r="J17" s="243"/>
      <c r="K17" s="247">
        <f t="shared" si="0"/>
        <v>0</v>
      </c>
      <c r="L17" s="205">
        <f t="shared" si="1"/>
        <v>0</v>
      </c>
      <c r="M17" s="206" t="str">
        <f t="shared" si="2"/>
        <v/>
      </c>
      <c r="N17" s="208"/>
      <c r="O17" s="208"/>
      <c r="P17" s="209"/>
    </row>
    <row r="18" spans="1:16" ht="105">
      <c r="A18" s="149">
        <v>8</v>
      </c>
      <c r="B18" s="307" t="s">
        <v>724</v>
      </c>
      <c r="C18" s="323" t="s">
        <v>725</v>
      </c>
      <c r="D18" s="245"/>
      <c r="E18" s="210">
        <v>0.18</v>
      </c>
      <c r="F18" s="246"/>
      <c r="G18" s="328" t="s">
        <v>726</v>
      </c>
      <c r="H18" s="325" t="s">
        <v>306</v>
      </c>
      <c r="I18" s="327">
        <v>33</v>
      </c>
      <c r="J18" s="243"/>
      <c r="K18" s="247">
        <f t="shared" si="0"/>
        <v>0</v>
      </c>
      <c r="L18" s="205">
        <f t="shared" si="1"/>
        <v>0</v>
      </c>
      <c r="M18" s="206" t="str">
        <f t="shared" si="2"/>
        <v/>
      </c>
      <c r="N18" s="208"/>
      <c r="O18" s="208"/>
      <c r="P18" s="209"/>
    </row>
    <row r="19" spans="1:16" ht="78.75">
      <c r="A19" s="149">
        <v>9</v>
      </c>
      <c r="B19" s="307" t="s">
        <v>727</v>
      </c>
      <c r="C19" s="323" t="s">
        <v>728</v>
      </c>
      <c r="D19" s="245"/>
      <c r="E19" s="210">
        <v>0.18</v>
      </c>
      <c r="F19" s="246"/>
      <c r="G19" s="324" t="s">
        <v>729</v>
      </c>
      <c r="H19" s="325" t="s">
        <v>730</v>
      </c>
      <c r="I19" s="327">
        <v>536</v>
      </c>
      <c r="J19" s="243"/>
      <c r="K19" s="247">
        <f t="shared" si="0"/>
        <v>0</v>
      </c>
      <c r="L19" s="205">
        <f t="shared" si="1"/>
        <v>0</v>
      </c>
      <c r="M19" s="206" t="str">
        <f t="shared" si="2"/>
        <v/>
      </c>
      <c r="N19" s="208"/>
      <c r="O19" s="208"/>
      <c r="P19" s="209"/>
    </row>
    <row r="20" spans="1:16" ht="31.5">
      <c r="A20" s="149">
        <v>10</v>
      </c>
      <c r="B20" s="307" t="s">
        <v>731</v>
      </c>
      <c r="C20" s="323" t="s">
        <v>732</v>
      </c>
      <c r="D20" s="245"/>
      <c r="E20" s="210">
        <v>0.18</v>
      </c>
      <c r="F20" s="246"/>
      <c r="G20" s="324" t="s">
        <v>733</v>
      </c>
      <c r="H20" s="325" t="s">
        <v>272</v>
      </c>
      <c r="I20" s="327">
        <v>103</v>
      </c>
      <c r="J20" s="243"/>
      <c r="K20" s="247">
        <f t="shared" si="0"/>
        <v>0</v>
      </c>
      <c r="L20" s="205">
        <f t="shared" si="1"/>
        <v>0</v>
      </c>
      <c r="M20" s="206" t="str">
        <f t="shared" si="2"/>
        <v/>
      </c>
      <c r="N20" s="208"/>
      <c r="O20" s="208"/>
      <c r="P20" s="209"/>
    </row>
    <row r="21" spans="1:16" ht="63">
      <c r="A21" s="149">
        <v>11</v>
      </c>
      <c r="B21" s="307" t="s">
        <v>734</v>
      </c>
      <c r="C21" s="323" t="s">
        <v>735</v>
      </c>
      <c r="D21" s="245"/>
      <c r="E21" s="210">
        <v>0.18</v>
      </c>
      <c r="F21" s="246"/>
      <c r="G21" s="324" t="s">
        <v>736</v>
      </c>
      <c r="H21" s="325" t="s">
        <v>272</v>
      </c>
      <c r="I21" s="327">
        <v>87</v>
      </c>
      <c r="J21" s="243"/>
      <c r="K21" s="247">
        <f t="shared" si="0"/>
        <v>0</v>
      </c>
      <c r="L21" s="205">
        <f t="shared" si="1"/>
        <v>0</v>
      </c>
      <c r="M21" s="206" t="str">
        <f t="shared" si="2"/>
        <v/>
      </c>
      <c r="N21" s="208"/>
      <c r="O21" s="208"/>
      <c r="P21" s="209"/>
    </row>
    <row r="22" spans="1:16" ht="78.75">
      <c r="A22" s="149">
        <v>12</v>
      </c>
      <c r="B22" s="307" t="s">
        <v>737</v>
      </c>
      <c r="C22" s="323" t="s">
        <v>738</v>
      </c>
      <c r="D22" s="245"/>
      <c r="E22" s="210">
        <v>0.18</v>
      </c>
      <c r="F22" s="246"/>
      <c r="G22" s="324" t="s">
        <v>739</v>
      </c>
      <c r="H22" s="325" t="s">
        <v>272</v>
      </c>
      <c r="I22" s="327">
        <v>354</v>
      </c>
      <c r="J22" s="243"/>
      <c r="K22" s="247">
        <f t="shared" si="0"/>
        <v>0</v>
      </c>
      <c r="L22" s="205">
        <f t="shared" si="1"/>
        <v>0</v>
      </c>
      <c r="M22" s="206" t="str">
        <f t="shared" si="2"/>
        <v/>
      </c>
      <c r="N22" s="208"/>
      <c r="O22" s="208"/>
      <c r="P22" s="209"/>
    </row>
    <row r="23" spans="1:16" ht="78.75">
      <c r="A23" s="149">
        <v>13</v>
      </c>
      <c r="B23" s="307" t="s">
        <v>740</v>
      </c>
      <c r="C23" s="323" t="s">
        <v>741</v>
      </c>
      <c r="D23" s="245"/>
      <c r="E23" s="210">
        <v>0.18</v>
      </c>
      <c r="F23" s="246"/>
      <c r="G23" s="324" t="s">
        <v>742</v>
      </c>
      <c r="H23" s="325" t="s">
        <v>306</v>
      </c>
      <c r="I23" s="327">
        <v>86</v>
      </c>
      <c r="J23" s="243"/>
      <c r="K23" s="247">
        <f t="shared" si="0"/>
        <v>0</v>
      </c>
      <c r="L23" s="205">
        <f t="shared" si="1"/>
        <v>0</v>
      </c>
      <c r="M23" s="206" t="str">
        <f t="shared" si="2"/>
        <v/>
      </c>
      <c r="N23" s="208"/>
      <c r="O23" s="208"/>
      <c r="P23" s="209"/>
    </row>
    <row r="24" spans="1:16" ht="47.25">
      <c r="A24" s="149">
        <v>14</v>
      </c>
      <c r="B24" s="307" t="s">
        <v>743</v>
      </c>
      <c r="C24" s="323" t="s">
        <v>744</v>
      </c>
      <c r="D24" s="245"/>
      <c r="E24" s="210">
        <v>0.18</v>
      </c>
      <c r="F24" s="246"/>
      <c r="G24" s="324" t="s">
        <v>745</v>
      </c>
      <c r="H24" s="325" t="s">
        <v>306</v>
      </c>
      <c r="I24" s="327">
        <v>201</v>
      </c>
      <c r="J24" s="243"/>
      <c r="K24" s="247">
        <f t="shared" si="0"/>
        <v>0</v>
      </c>
      <c r="L24" s="205">
        <f t="shared" si="1"/>
        <v>0</v>
      </c>
      <c r="M24" s="206" t="str">
        <f t="shared" si="2"/>
        <v/>
      </c>
      <c r="N24" s="208"/>
      <c r="O24" s="208"/>
      <c r="P24" s="209"/>
    </row>
    <row r="25" spans="1:16" ht="63">
      <c r="A25" s="149">
        <v>15</v>
      </c>
      <c r="B25" s="307" t="s">
        <v>746</v>
      </c>
      <c r="C25" s="323" t="s">
        <v>747</v>
      </c>
      <c r="D25" s="245"/>
      <c r="E25" s="210">
        <v>0.18</v>
      </c>
      <c r="F25" s="246"/>
      <c r="G25" s="324" t="s">
        <v>748</v>
      </c>
      <c r="H25" s="325" t="s">
        <v>284</v>
      </c>
      <c r="I25" s="327">
        <v>672</v>
      </c>
      <c r="J25" s="243"/>
      <c r="K25" s="247">
        <f t="shared" si="0"/>
        <v>0</v>
      </c>
      <c r="L25" s="205">
        <f t="shared" si="1"/>
        <v>0</v>
      </c>
      <c r="M25" s="206" t="str">
        <f t="shared" si="2"/>
        <v/>
      </c>
      <c r="N25" s="208"/>
      <c r="O25" s="208"/>
      <c r="P25" s="209"/>
    </row>
    <row r="26" spans="1:16" ht="47.25">
      <c r="A26" s="149">
        <v>16</v>
      </c>
      <c r="B26" s="307" t="s">
        <v>749</v>
      </c>
      <c r="C26" s="323" t="s">
        <v>750</v>
      </c>
      <c r="D26" s="245"/>
      <c r="E26" s="210">
        <v>0.18</v>
      </c>
      <c r="F26" s="246"/>
      <c r="G26" s="324" t="s">
        <v>751</v>
      </c>
      <c r="H26" s="325" t="s">
        <v>359</v>
      </c>
      <c r="I26" s="327">
        <v>25</v>
      </c>
      <c r="J26" s="243"/>
      <c r="K26" s="247">
        <f t="shared" si="0"/>
        <v>0</v>
      </c>
      <c r="L26" s="205">
        <f t="shared" si="1"/>
        <v>0</v>
      </c>
      <c r="M26" s="206" t="str">
        <f t="shared" si="2"/>
        <v/>
      </c>
      <c r="N26" s="208"/>
      <c r="O26" s="208"/>
      <c r="P26" s="209"/>
    </row>
    <row r="27" spans="1:16" ht="157.5">
      <c r="A27" s="149">
        <v>17</v>
      </c>
      <c r="B27" s="307" t="s">
        <v>752</v>
      </c>
      <c r="C27" s="323" t="s">
        <v>753</v>
      </c>
      <c r="D27" s="245"/>
      <c r="E27" s="210">
        <v>0.18</v>
      </c>
      <c r="F27" s="246"/>
      <c r="G27" s="319" t="s">
        <v>754</v>
      </c>
      <c r="H27" s="325" t="s">
        <v>306</v>
      </c>
      <c r="I27" s="327">
        <v>8</v>
      </c>
      <c r="J27" s="243"/>
      <c r="K27" s="247">
        <f t="shared" si="0"/>
        <v>0</v>
      </c>
      <c r="L27" s="205">
        <f t="shared" si="1"/>
        <v>0</v>
      </c>
      <c r="M27" s="206" t="str">
        <f t="shared" si="2"/>
        <v/>
      </c>
      <c r="N27" s="208"/>
      <c r="O27" s="208"/>
      <c r="P27" s="209"/>
    </row>
    <row r="28" spans="1:16" ht="157.5">
      <c r="A28" s="149">
        <v>18</v>
      </c>
      <c r="B28" s="307" t="s">
        <v>755</v>
      </c>
      <c r="C28" s="323" t="s">
        <v>756</v>
      </c>
      <c r="D28" s="245"/>
      <c r="E28" s="210">
        <v>0.18</v>
      </c>
      <c r="F28" s="246"/>
      <c r="G28" s="319" t="s">
        <v>757</v>
      </c>
      <c r="H28" s="325" t="s">
        <v>306</v>
      </c>
      <c r="I28" s="327">
        <v>12</v>
      </c>
      <c r="J28" s="243"/>
      <c r="K28" s="247">
        <f t="shared" si="0"/>
        <v>0</v>
      </c>
      <c r="L28" s="205">
        <f t="shared" si="1"/>
        <v>0</v>
      </c>
      <c r="M28" s="206" t="str">
        <f t="shared" si="2"/>
        <v/>
      </c>
      <c r="N28" s="208"/>
      <c r="O28" s="208"/>
      <c r="P28" s="209"/>
    </row>
    <row r="29" spans="1:16" ht="141.75">
      <c r="A29" s="149">
        <v>19</v>
      </c>
      <c r="B29" s="307" t="s">
        <v>758</v>
      </c>
      <c r="C29" s="323" t="s">
        <v>759</v>
      </c>
      <c r="D29" s="245"/>
      <c r="E29" s="210">
        <v>0.18</v>
      </c>
      <c r="F29" s="246"/>
      <c r="G29" s="324" t="s">
        <v>760</v>
      </c>
      <c r="H29" s="325" t="s">
        <v>284</v>
      </c>
      <c r="I29" s="327">
        <v>28</v>
      </c>
      <c r="J29" s="243"/>
      <c r="K29" s="247">
        <f t="shared" si="0"/>
        <v>0</v>
      </c>
      <c r="L29" s="205">
        <f t="shared" si="1"/>
        <v>0</v>
      </c>
      <c r="M29" s="206" t="str">
        <f t="shared" si="2"/>
        <v/>
      </c>
      <c r="N29" s="208"/>
      <c r="O29" s="208"/>
      <c r="P29" s="209"/>
    </row>
    <row r="30" spans="1:16" ht="154.5" customHeight="1">
      <c r="A30" s="149">
        <v>20</v>
      </c>
      <c r="B30" s="307" t="s">
        <v>761</v>
      </c>
      <c r="C30" s="323" t="s">
        <v>762</v>
      </c>
      <c r="D30" s="245"/>
      <c r="E30" s="210">
        <v>0.18</v>
      </c>
      <c r="F30" s="246"/>
      <c r="G30" s="324" t="s">
        <v>763</v>
      </c>
      <c r="H30" s="325" t="s">
        <v>284</v>
      </c>
      <c r="I30" s="327">
        <v>31</v>
      </c>
      <c r="J30" s="243"/>
      <c r="K30" s="247">
        <f t="shared" si="0"/>
        <v>0</v>
      </c>
      <c r="L30" s="205">
        <f t="shared" si="1"/>
        <v>0</v>
      </c>
      <c r="M30" s="206" t="str">
        <f t="shared" si="2"/>
        <v/>
      </c>
      <c r="N30" s="208"/>
      <c r="O30" s="208"/>
      <c r="P30" s="209"/>
    </row>
    <row r="31" spans="1:16" ht="78.75">
      <c r="A31" s="149">
        <v>21</v>
      </c>
      <c r="B31" s="307" t="s">
        <v>764</v>
      </c>
      <c r="C31" s="323" t="s">
        <v>765</v>
      </c>
      <c r="D31" s="245"/>
      <c r="E31" s="210">
        <v>0.18</v>
      </c>
      <c r="F31" s="246"/>
      <c r="G31" s="324" t="s">
        <v>766</v>
      </c>
      <c r="H31" s="325" t="s">
        <v>359</v>
      </c>
      <c r="I31" s="327">
        <v>13</v>
      </c>
      <c r="J31" s="243"/>
      <c r="K31" s="247">
        <f t="shared" si="0"/>
        <v>0</v>
      </c>
      <c r="L31" s="205">
        <f t="shared" si="1"/>
        <v>0</v>
      </c>
      <c r="M31" s="206" t="str">
        <f t="shared" si="2"/>
        <v/>
      </c>
      <c r="N31" s="208"/>
      <c r="O31" s="208"/>
      <c r="P31" s="209"/>
    </row>
    <row r="32" spans="1:16" ht="78.75">
      <c r="A32" s="149">
        <v>22</v>
      </c>
      <c r="B32" s="307" t="s">
        <v>767</v>
      </c>
      <c r="C32" s="323" t="s">
        <v>768</v>
      </c>
      <c r="D32" s="245"/>
      <c r="E32" s="210">
        <v>0.18</v>
      </c>
      <c r="F32" s="246"/>
      <c r="G32" s="324" t="s">
        <v>769</v>
      </c>
      <c r="H32" s="325" t="s">
        <v>306</v>
      </c>
      <c r="I32" s="327">
        <v>21</v>
      </c>
      <c r="J32" s="243"/>
      <c r="K32" s="247">
        <f t="shared" si="0"/>
        <v>0</v>
      </c>
      <c r="L32" s="205">
        <f t="shared" si="1"/>
        <v>0</v>
      </c>
      <c r="M32" s="206" t="str">
        <f t="shared" si="2"/>
        <v/>
      </c>
      <c r="N32" s="208"/>
      <c r="O32" s="208"/>
      <c r="P32" s="209"/>
    </row>
    <row r="33" spans="1:16" ht="15.75">
      <c r="A33" s="149"/>
      <c r="B33" s="307"/>
      <c r="C33" s="326"/>
      <c r="D33" s="245"/>
      <c r="E33" s="210"/>
      <c r="F33" s="246"/>
      <c r="G33" s="329" t="s">
        <v>770</v>
      </c>
      <c r="H33" s="325"/>
      <c r="I33" s="327"/>
      <c r="J33" s="243"/>
      <c r="K33" s="247"/>
      <c r="L33" s="205"/>
      <c r="M33" s="206"/>
      <c r="N33" s="208"/>
      <c r="O33" s="208"/>
      <c r="P33" s="209"/>
    </row>
    <row r="34" spans="1:16" ht="94.5">
      <c r="A34" s="149">
        <v>23</v>
      </c>
      <c r="B34" s="307" t="s">
        <v>771</v>
      </c>
      <c r="C34" s="323" t="s">
        <v>772</v>
      </c>
      <c r="D34" s="245"/>
      <c r="E34" s="210">
        <v>0.18</v>
      </c>
      <c r="F34" s="246"/>
      <c r="G34" s="324" t="s">
        <v>773</v>
      </c>
      <c r="H34" s="325" t="s">
        <v>359</v>
      </c>
      <c r="I34" s="327">
        <v>6</v>
      </c>
      <c r="J34" s="243"/>
      <c r="K34" s="247">
        <f t="shared" si="0"/>
        <v>0</v>
      </c>
      <c r="L34" s="205">
        <f t="shared" si="1"/>
        <v>0</v>
      </c>
      <c r="M34" s="206" t="str">
        <f t="shared" si="2"/>
        <v/>
      </c>
      <c r="N34" s="208"/>
      <c r="O34" s="208"/>
      <c r="P34" s="209"/>
    </row>
    <row r="35" spans="1:16" ht="94.5">
      <c r="A35" s="149">
        <v>24</v>
      </c>
      <c r="B35" s="307" t="s">
        <v>774</v>
      </c>
      <c r="C35" s="323" t="s">
        <v>775</v>
      </c>
      <c r="D35" s="245"/>
      <c r="E35" s="210">
        <v>0.18</v>
      </c>
      <c r="F35" s="246"/>
      <c r="G35" s="324" t="s">
        <v>776</v>
      </c>
      <c r="H35" s="325" t="s">
        <v>359</v>
      </c>
      <c r="I35" s="327">
        <v>2</v>
      </c>
      <c r="J35" s="243"/>
      <c r="K35" s="247">
        <f t="shared" si="0"/>
        <v>0</v>
      </c>
      <c r="L35" s="205">
        <f t="shared" si="1"/>
        <v>0</v>
      </c>
      <c r="M35" s="206" t="str">
        <f t="shared" si="2"/>
        <v/>
      </c>
      <c r="N35" s="208"/>
      <c r="O35" s="208"/>
      <c r="P35" s="209"/>
    </row>
    <row r="36" spans="1:16" ht="78.75">
      <c r="A36" s="149">
        <v>25</v>
      </c>
      <c r="B36" s="307" t="s">
        <v>777</v>
      </c>
      <c r="C36" s="323" t="s">
        <v>778</v>
      </c>
      <c r="D36" s="245"/>
      <c r="E36" s="210">
        <v>0.18</v>
      </c>
      <c r="F36" s="246"/>
      <c r="G36" s="324" t="s">
        <v>779</v>
      </c>
      <c r="H36" s="325" t="s">
        <v>359</v>
      </c>
      <c r="I36" s="327">
        <v>2</v>
      </c>
      <c r="J36" s="243"/>
      <c r="K36" s="247">
        <f t="shared" si="0"/>
        <v>0</v>
      </c>
      <c r="L36" s="205">
        <f t="shared" si="1"/>
        <v>0</v>
      </c>
      <c r="M36" s="206" t="str">
        <f t="shared" si="2"/>
        <v/>
      </c>
      <c r="N36" s="208"/>
      <c r="O36" s="208"/>
      <c r="P36" s="209"/>
    </row>
    <row r="37" spans="1:16" ht="126">
      <c r="A37" s="149">
        <v>26</v>
      </c>
      <c r="B37" s="307" t="s">
        <v>780</v>
      </c>
      <c r="C37" s="323" t="s">
        <v>781</v>
      </c>
      <c r="D37" s="245"/>
      <c r="E37" s="210">
        <v>0.18</v>
      </c>
      <c r="F37" s="246"/>
      <c r="G37" s="324" t="s">
        <v>782</v>
      </c>
      <c r="H37" s="325" t="s">
        <v>359</v>
      </c>
      <c r="I37" s="327">
        <v>4</v>
      </c>
      <c r="J37" s="243"/>
      <c r="K37" s="247">
        <f t="shared" si="0"/>
        <v>0</v>
      </c>
      <c r="L37" s="205">
        <f t="shared" si="1"/>
        <v>0</v>
      </c>
      <c r="M37" s="206" t="str">
        <f t="shared" si="2"/>
        <v/>
      </c>
      <c r="N37" s="208"/>
      <c r="O37" s="208"/>
      <c r="P37" s="209"/>
    </row>
    <row r="38" spans="1:16" ht="63">
      <c r="A38" s="149">
        <v>27</v>
      </c>
      <c r="B38" s="307" t="s">
        <v>783</v>
      </c>
      <c r="C38" s="323" t="s">
        <v>784</v>
      </c>
      <c r="D38" s="245"/>
      <c r="E38" s="210">
        <v>0.18</v>
      </c>
      <c r="F38" s="246"/>
      <c r="G38" s="324" t="s">
        <v>785</v>
      </c>
      <c r="H38" s="325" t="s">
        <v>359</v>
      </c>
      <c r="I38" s="327">
        <v>6</v>
      </c>
      <c r="J38" s="243"/>
      <c r="K38" s="247">
        <f t="shared" si="0"/>
        <v>0</v>
      </c>
      <c r="L38" s="205">
        <f t="shared" si="1"/>
        <v>0</v>
      </c>
      <c r="M38" s="206" t="str">
        <f t="shared" si="2"/>
        <v/>
      </c>
      <c r="N38" s="208"/>
      <c r="O38" s="208"/>
      <c r="P38" s="209"/>
    </row>
    <row r="39" spans="1:16" ht="63">
      <c r="A39" s="149">
        <v>28</v>
      </c>
      <c r="B39" s="307" t="s">
        <v>786</v>
      </c>
      <c r="C39" s="323" t="s">
        <v>787</v>
      </c>
      <c r="D39" s="245"/>
      <c r="E39" s="210">
        <v>0.18</v>
      </c>
      <c r="F39" s="246"/>
      <c r="G39" s="324" t="s">
        <v>788</v>
      </c>
      <c r="H39" s="325" t="s">
        <v>359</v>
      </c>
      <c r="I39" s="327">
        <v>6</v>
      </c>
      <c r="J39" s="243"/>
      <c r="K39" s="247">
        <f t="shared" si="0"/>
        <v>0</v>
      </c>
      <c r="L39" s="205">
        <f t="shared" si="1"/>
        <v>0</v>
      </c>
      <c r="M39" s="206" t="str">
        <f t="shared" si="2"/>
        <v/>
      </c>
      <c r="N39" s="208"/>
      <c r="O39" s="208"/>
      <c r="P39" s="209"/>
    </row>
    <row r="40" spans="1:16" ht="47.25">
      <c r="A40" s="149">
        <v>29</v>
      </c>
      <c r="B40" s="307" t="s">
        <v>789</v>
      </c>
      <c r="C40" s="323" t="s">
        <v>790</v>
      </c>
      <c r="D40" s="245"/>
      <c r="E40" s="210">
        <v>0.18</v>
      </c>
      <c r="F40" s="246"/>
      <c r="G40" s="324" t="s">
        <v>791</v>
      </c>
      <c r="H40" s="325" t="s">
        <v>359</v>
      </c>
      <c r="I40" s="327">
        <v>6</v>
      </c>
      <c r="J40" s="243"/>
      <c r="K40" s="247">
        <f t="shared" si="0"/>
        <v>0</v>
      </c>
      <c r="L40" s="205">
        <f t="shared" si="1"/>
        <v>0</v>
      </c>
      <c r="M40" s="206" t="str">
        <f t="shared" si="2"/>
        <v/>
      </c>
      <c r="N40" s="208"/>
      <c r="O40" s="208"/>
      <c r="P40" s="209"/>
    </row>
    <row r="41" spans="1:16" ht="47.25">
      <c r="A41" s="149">
        <v>30</v>
      </c>
      <c r="B41" s="307" t="s">
        <v>792</v>
      </c>
      <c r="C41" s="323" t="s">
        <v>793</v>
      </c>
      <c r="D41" s="245"/>
      <c r="E41" s="210">
        <v>0.18</v>
      </c>
      <c r="F41" s="246"/>
      <c r="G41" s="324" t="s">
        <v>794</v>
      </c>
      <c r="H41" s="325" t="s">
        <v>359</v>
      </c>
      <c r="I41" s="327">
        <v>2</v>
      </c>
      <c r="J41" s="243"/>
      <c r="K41" s="247">
        <f t="shared" si="0"/>
        <v>0</v>
      </c>
      <c r="L41" s="205">
        <f t="shared" si="1"/>
        <v>0</v>
      </c>
      <c r="M41" s="206" t="str">
        <f t="shared" si="2"/>
        <v/>
      </c>
      <c r="N41" s="208"/>
      <c r="O41" s="208"/>
      <c r="P41" s="209"/>
    </row>
    <row r="42" spans="1:16" ht="94.5">
      <c r="A42" s="149">
        <v>31</v>
      </c>
      <c r="B42" s="307" t="s">
        <v>795</v>
      </c>
      <c r="C42" s="323" t="s">
        <v>796</v>
      </c>
      <c r="D42" s="245"/>
      <c r="E42" s="210">
        <v>0.18</v>
      </c>
      <c r="F42" s="246"/>
      <c r="G42" s="324" t="s">
        <v>797</v>
      </c>
      <c r="H42" s="325" t="s">
        <v>359</v>
      </c>
      <c r="I42" s="327">
        <v>2</v>
      </c>
      <c r="J42" s="243"/>
      <c r="K42" s="247">
        <f t="shared" si="0"/>
        <v>0</v>
      </c>
      <c r="L42" s="205">
        <f t="shared" si="1"/>
        <v>0</v>
      </c>
      <c r="M42" s="206" t="str">
        <f t="shared" si="2"/>
        <v/>
      </c>
      <c r="N42" s="208"/>
      <c r="O42" s="208"/>
      <c r="P42" s="209"/>
    </row>
    <row r="43" spans="1:16" ht="78.75">
      <c r="A43" s="149">
        <v>32</v>
      </c>
      <c r="B43" s="307" t="s">
        <v>798</v>
      </c>
      <c r="C43" s="323" t="s">
        <v>799</v>
      </c>
      <c r="D43" s="245"/>
      <c r="E43" s="210">
        <v>0.18</v>
      </c>
      <c r="F43" s="246"/>
      <c r="G43" s="324" t="s">
        <v>800</v>
      </c>
      <c r="H43" s="325" t="s">
        <v>359</v>
      </c>
      <c r="I43" s="327">
        <v>10</v>
      </c>
      <c r="J43" s="243"/>
      <c r="K43" s="247">
        <f t="shared" si="0"/>
        <v>0</v>
      </c>
      <c r="L43" s="205">
        <f t="shared" si="1"/>
        <v>0</v>
      </c>
      <c r="M43" s="206" t="str">
        <f t="shared" si="2"/>
        <v/>
      </c>
      <c r="N43" s="208"/>
      <c r="O43" s="208"/>
      <c r="P43" s="209"/>
    </row>
    <row r="44" spans="1:16" ht="63">
      <c r="A44" s="149">
        <v>33</v>
      </c>
      <c r="B44" s="307" t="s">
        <v>801</v>
      </c>
      <c r="C44" s="323" t="s">
        <v>802</v>
      </c>
      <c r="D44" s="245"/>
      <c r="E44" s="210">
        <v>0.18</v>
      </c>
      <c r="F44" s="246"/>
      <c r="G44" s="324" t="s">
        <v>803</v>
      </c>
      <c r="H44" s="325" t="s">
        <v>359</v>
      </c>
      <c r="I44" s="327">
        <v>2</v>
      </c>
      <c r="J44" s="243"/>
      <c r="K44" s="247">
        <f t="shared" si="0"/>
        <v>0</v>
      </c>
      <c r="L44" s="205">
        <f t="shared" si="1"/>
        <v>0</v>
      </c>
      <c r="M44" s="206" t="str">
        <f t="shared" si="2"/>
        <v/>
      </c>
      <c r="N44" s="208"/>
      <c r="O44" s="208"/>
      <c r="P44" s="209"/>
    </row>
    <row r="45" spans="1:16" ht="63">
      <c r="A45" s="149">
        <v>34</v>
      </c>
      <c r="B45" s="307" t="s">
        <v>804</v>
      </c>
      <c r="C45" s="323" t="s">
        <v>805</v>
      </c>
      <c r="D45" s="245"/>
      <c r="E45" s="210">
        <v>0.18</v>
      </c>
      <c r="F45" s="246"/>
      <c r="G45" s="324" t="s">
        <v>806</v>
      </c>
      <c r="H45" s="325" t="s">
        <v>359</v>
      </c>
      <c r="I45" s="327">
        <v>2</v>
      </c>
      <c r="J45" s="243"/>
      <c r="K45" s="247">
        <f t="shared" si="0"/>
        <v>0</v>
      </c>
      <c r="L45" s="205">
        <f t="shared" si="1"/>
        <v>0</v>
      </c>
      <c r="M45" s="206" t="str">
        <f t="shared" si="2"/>
        <v/>
      </c>
      <c r="N45" s="208"/>
      <c r="O45" s="208"/>
      <c r="P45" s="209"/>
    </row>
    <row r="46" spans="1:16" ht="63">
      <c r="A46" s="149">
        <v>35</v>
      </c>
      <c r="B46" s="307" t="s">
        <v>807</v>
      </c>
      <c r="C46" s="323" t="s">
        <v>808</v>
      </c>
      <c r="D46" s="245"/>
      <c r="E46" s="210">
        <v>0.18</v>
      </c>
      <c r="F46" s="246"/>
      <c r="G46" s="324" t="s">
        <v>809</v>
      </c>
      <c r="H46" s="325" t="s">
        <v>359</v>
      </c>
      <c r="I46" s="327">
        <v>1</v>
      </c>
      <c r="J46" s="243"/>
      <c r="K46" s="247">
        <f t="shared" si="0"/>
        <v>0</v>
      </c>
      <c r="L46" s="205">
        <f t="shared" si="1"/>
        <v>0</v>
      </c>
      <c r="M46" s="206" t="str">
        <f t="shared" si="2"/>
        <v/>
      </c>
      <c r="N46" s="208"/>
      <c r="O46" s="208"/>
      <c r="P46" s="209"/>
    </row>
    <row r="47" spans="1:16" ht="63">
      <c r="A47" s="149">
        <v>36</v>
      </c>
      <c r="B47" s="307" t="s">
        <v>810</v>
      </c>
      <c r="C47" s="323" t="s">
        <v>811</v>
      </c>
      <c r="D47" s="245"/>
      <c r="E47" s="210">
        <v>0.18</v>
      </c>
      <c r="F47" s="246"/>
      <c r="G47" s="324" t="s">
        <v>812</v>
      </c>
      <c r="H47" s="325" t="s">
        <v>359</v>
      </c>
      <c r="I47" s="327">
        <v>2</v>
      </c>
      <c r="J47" s="243"/>
      <c r="K47" s="247">
        <f t="shared" si="0"/>
        <v>0</v>
      </c>
      <c r="L47" s="205">
        <f t="shared" si="1"/>
        <v>0</v>
      </c>
      <c r="M47" s="206" t="str">
        <f t="shared" si="2"/>
        <v/>
      </c>
      <c r="N47" s="208"/>
      <c r="O47" s="208"/>
      <c r="P47" s="209"/>
    </row>
    <row r="48" spans="1:16" ht="16.5">
      <c r="A48" s="224"/>
      <c r="B48" s="225"/>
      <c r="C48" s="226"/>
      <c r="D48" s="226"/>
      <c r="E48" s="226"/>
      <c r="F48" s="228"/>
      <c r="G48" s="313" t="s">
        <v>813</v>
      </c>
      <c r="H48" s="233"/>
      <c r="I48" s="233"/>
      <c r="J48" s="233"/>
      <c r="K48" s="309">
        <f>SUM(K11:K47)</f>
        <v>0</v>
      </c>
      <c r="L48" s="309">
        <f>SUM(L11:L47)</f>
        <v>0</v>
      </c>
      <c r="M48" s="206"/>
      <c r="N48" s="208"/>
      <c r="O48" s="208"/>
      <c r="P48" s="209"/>
    </row>
    <row r="49" spans="1:16" ht="30.75" customHeight="1">
      <c r="A49" s="224" t="s">
        <v>701</v>
      </c>
      <c r="B49" s="225"/>
      <c r="C49" s="226"/>
      <c r="D49" s="226"/>
      <c r="E49" s="227"/>
      <c r="F49" s="228"/>
      <c r="G49" s="313" t="s">
        <v>814</v>
      </c>
      <c r="H49" s="229"/>
      <c r="I49" s="230"/>
      <c r="J49" s="231"/>
      <c r="K49" s="232"/>
      <c r="L49" s="232"/>
      <c r="M49" s="206"/>
      <c r="N49" s="208"/>
      <c r="O49" s="208"/>
      <c r="P49" s="209"/>
    </row>
    <row r="50" spans="1:16" ht="143.25" customHeight="1">
      <c r="A50" s="149">
        <v>1</v>
      </c>
      <c r="B50" s="354" t="s">
        <v>703</v>
      </c>
      <c r="C50" s="323" t="s">
        <v>704</v>
      </c>
      <c r="D50" s="245"/>
      <c r="E50" s="210">
        <v>0.18</v>
      </c>
      <c r="F50" s="246"/>
      <c r="G50" s="324" t="s">
        <v>705</v>
      </c>
      <c r="H50" s="325" t="s">
        <v>306</v>
      </c>
      <c r="I50" s="327">
        <v>242</v>
      </c>
      <c r="J50" s="243"/>
      <c r="K50" s="247">
        <f t="shared" ref="K50" si="3">ROUND(J50*I50,2)</f>
        <v>0</v>
      </c>
      <c r="L50" s="205">
        <f t="shared" ref="L50" si="4">ROUND(K50*E50,2)</f>
        <v>0</v>
      </c>
      <c r="M50" s="206" t="str">
        <f t="shared" si="2"/>
        <v/>
      </c>
      <c r="N50" s="208"/>
      <c r="O50" s="208"/>
      <c r="P50" s="209"/>
    </row>
    <row r="51" spans="1:16" ht="162.75" customHeight="1">
      <c r="A51" s="149">
        <v>2</v>
      </c>
      <c r="B51" s="354" t="s">
        <v>706</v>
      </c>
      <c r="C51" s="323" t="s">
        <v>719</v>
      </c>
      <c r="D51" s="245"/>
      <c r="E51" s="210">
        <v>0.18</v>
      </c>
      <c r="F51" s="246"/>
      <c r="G51" s="324" t="s">
        <v>720</v>
      </c>
      <c r="H51" s="325" t="s">
        <v>306</v>
      </c>
      <c r="I51" s="327">
        <v>168</v>
      </c>
      <c r="J51" s="243"/>
      <c r="K51" s="247">
        <f t="shared" ref="K51:K81" si="5">ROUND(J51*I51,2)</f>
        <v>0</v>
      </c>
      <c r="L51" s="205">
        <f t="shared" ref="L51:L81" si="6">ROUND(K51*E51,2)</f>
        <v>0</v>
      </c>
      <c r="M51" s="206" t="str">
        <f t="shared" si="2"/>
        <v/>
      </c>
      <c r="N51" s="208"/>
      <c r="O51" s="208"/>
      <c r="P51" s="209"/>
    </row>
    <row r="52" spans="1:16" ht="346.5">
      <c r="A52" s="149">
        <v>3</v>
      </c>
      <c r="B52" s="354" t="s">
        <v>709</v>
      </c>
      <c r="C52" s="323" t="s">
        <v>815</v>
      </c>
      <c r="D52" s="245"/>
      <c r="E52" s="210">
        <v>0.18</v>
      </c>
      <c r="F52" s="246"/>
      <c r="G52" s="324" t="s">
        <v>816</v>
      </c>
      <c r="H52" s="325" t="s">
        <v>306</v>
      </c>
      <c r="I52" s="327">
        <v>218</v>
      </c>
      <c r="J52" s="243"/>
      <c r="K52" s="247">
        <f t="shared" si="5"/>
        <v>0</v>
      </c>
      <c r="L52" s="205">
        <f t="shared" si="6"/>
        <v>0</v>
      </c>
      <c r="M52" s="206" t="str">
        <f t="shared" si="2"/>
        <v/>
      </c>
      <c r="N52" s="208"/>
      <c r="O52" s="208"/>
      <c r="P52" s="209"/>
    </row>
    <row r="53" spans="1:16" ht="283.5">
      <c r="A53" s="149">
        <v>4</v>
      </c>
      <c r="B53" s="354" t="s">
        <v>712</v>
      </c>
      <c r="C53" s="323" t="s">
        <v>722</v>
      </c>
      <c r="D53" s="245"/>
      <c r="E53" s="210">
        <v>0.18</v>
      </c>
      <c r="F53" s="246"/>
      <c r="G53" s="324" t="s">
        <v>723</v>
      </c>
      <c r="H53" s="325" t="s">
        <v>306</v>
      </c>
      <c r="I53" s="327">
        <v>40</v>
      </c>
      <c r="J53" s="243"/>
      <c r="K53" s="247">
        <f t="shared" si="5"/>
        <v>0</v>
      </c>
      <c r="L53" s="205">
        <f t="shared" si="6"/>
        <v>0</v>
      </c>
      <c r="M53" s="206" t="str">
        <f t="shared" si="2"/>
        <v/>
      </c>
      <c r="N53" s="208"/>
      <c r="O53" s="208"/>
      <c r="P53" s="209"/>
    </row>
    <row r="54" spans="1:16" ht="105">
      <c r="A54" s="149">
        <v>5</v>
      </c>
      <c r="B54" s="354" t="s">
        <v>715</v>
      </c>
      <c r="C54" s="323" t="s">
        <v>817</v>
      </c>
      <c r="D54" s="245"/>
      <c r="E54" s="210">
        <v>0.18</v>
      </c>
      <c r="F54" s="246"/>
      <c r="G54" s="328" t="s">
        <v>726</v>
      </c>
      <c r="H54" s="325" t="s">
        <v>306</v>
      </c>
      <c r="I54" s="327">
        <v>8</v>
      </c>
      <c r="J54" s="243"/>
      <c r="K54" s="247">
        <f t="shared" si="5"/>
        <v>0</v>
      </c>
      <c r="L54" s="205">
        <f t="shared" si="6"/>
        <v>0</v>
      </c>
      <c r="M54" s="206" t="str">
        <f t="shared" si="2"/>
        <v/>
      </c>
      <c r="N54" s="208"/>
      <c r="O54" s="208"/>
      <c r="P54" s="209"/>
    </row>
    <row r="55" spans="1:16" ht="110.25">
      <c r="A55" s="149">
        <v>6</v>
      </c>
      <c r="B55" s="354" t="s">
        <v>718</v>
      </c>
      <c r="C55" s="323" t="s">
        <v>818</v>
      </c>
      <c r="D55" s="245"/>
      <c r="E55" s="210">
        <v>0.18</v>
      </c>
      <c r="F55" s="246"/>
      <c r="G55" s="324" t="s">
        <v>819</v>
      </c>
      <c r="H55" s="325" t="s">
        <v>272</v>
      </c>
      <c r="I55" s="327">
        <v>6</v>
      </c>
      <c r="J55" s="243"/>
      <c r="K55" s="247">
        <f t="shared" si="5"/>
        <v>0</v>
      </c>
      <c r="L55" s="205">
        <f t="shared" si="6"/>
        <v>0</v>
      </c>
      <c r="M55" s="206" t="str">
        <f t="shared" si="2"/>
        <v/>
      </c>
      <c r="N55" s="208"/>
      <c r="O55" s="208"/>
      <c r="P55" s="209"/>
    </row>
    <row r="56" spans="1:16" ht="31.5">
      <c r="A56" s="149">
        <v>7</v>
      </c>
      <c r="B56" s="354" t="s">
        <v>721</v>
      </c>
      <c r="C56" s="323" t="s">
        <v>732</v>
      </c>
      <c r="D56" s="245"/>
      <c r="E56" s="210">
        <v>0.18</v>
      </c>
      <c r="F56" s="246"/>
      <c r="G56" s="324" t="s">
        <v>733</v>
      </c>
      <c r="H56" s="325" t="s">
        <v>272</v>
      </c>
      <c r="I56" s="327">
        <v>104</v>
      </c>
      <c r="J56" s="243"/>
      <c r="K56" s="247">
        <f t="shared" si="5"/>
        <v>0</v>
      </c>
      <c r="L56" s="205">
        <f t="shared" si="6"/>
        <v>0</v>
      </c>
      <c r="M56" s="206" t="str">
        <f t="shared" si="2"/>
        <v/>
      </c>
      <c r="N56" s="208"/>
      <c r="O56" s="208"/>
      <c r="P56" s="209"/>
    </row>
    <row r="57" spans="1:16" ht="63">
      <c r="A57" s="149">
        <v>8</v>
      </c>
      <c r="B57" s="354" t="s">
        <v>724</v>
      </c>
      <c r="C57" s="323" t="s">
        <v>735</v>
      </c>
      <c r="D57" s="245"/>
      <c r="E57" s="210">
        <v>0.18</v>
      </c>
      <c r="F57" s="246"/>
      <c r="G57" s="324" t="s">
        <v>736</v>
      </c>
      <c r="H57" s="325" t="s">
        <v>272</v>
      </c>
      <c r="I57" s="327">
        <v>17</v>
      </c>
      <c r="J57" s="243"/>
      <c r="K57" s="247">
        <f t="shared" si="5"/>
        <v>0</v>
      </c>
      <c r="L57" s="205">
        <f t="shared" si="6"/>
        <v>0</v>
      </c>
      <c r="M57" s="206" t="str">
        <f t="shared" si="2"/>
        <v/>
      </c>
      <c r="N57" s="208"/>
      <c r="O57" s="208"/>
      <c r="P57" s="209"/>
    </row>
    <row r="58" spans="1:16" ht="78.75">
      <c r="A58" s="149">
        <v>9</v>
      </c>
      <c r="B58" s="354" t="s">
        <v>727</v>
      </c>
      <c r="C58" s="323" t="s">
        <v>738</v>
      </c>
      <c r="D58" s="245"/>
      <c r="E58" s="210">
        <v>0.18</v>
      </c>
      <c r="F58" s="246"/>
      <c r="G58" s="324" t="s">
        <v>739</v>
      </c>
      <c r="H58" s="325" t="s">
        <v>272</v>
      </c>
      <c r="I58" s="327">
        <v>166</v>
      </c>
      <c r="J58" s="243"/>
      <c r="K58" s="247">
        <f t="shared" si="5"/>
        <v>0</v>
      </c>
      <c r="L58" s="205">
        <f t="shared" si="6"/>
        <v>0</v>
      </c>
      <c r="M58" s="206" t="str">
        <f t="shared" si="2"/>
        <v/>
      </c>
      <c r="N58" s="208"/>
      <c r="O58" s="208"/>
      <c r="P58" s="209"/>
    </row>
    <row r="59" spans="1:16" ht="78.75">
      <c r="A59" s="149">
        <v>10</v>
      </c>
      <c r="B59" s="354" t="s">
        <v>731</v>
      </c>
      <c r="C59" s="323" t="s">
        <v>741</v>
      </c>
      <c r="D59" s="245"/>
      <c r="E59" s="210">
        <v>0.18</v>
      </c>
      <c r="F59" s="246"/>
      <c r="G59" s="324" t="s">
        <v>742</v>
      </c>
      <c r="H59" s="325" t="s">
        <v>306</v>
      </c>
      <c r="I59" s="327">
        <v>214</v>
      </c>
      <c r="J59" s="243"/>
      <c r="K59" s="247">
        <f t="shared" si="5"/>
        <v>0</v>
      </c>
      <c r="L59" s="205">
        <f t="shared" si="6"/>
        <v>0</v>
      </c>
      <c r="M59" s="206" t="str">
        <f t="shared" si="2"/>
        <v/>
      </c>
      <c r="N59" s="208"/>
      <c r="O59" s="208"/>
      <c r="P59" s="209"/>
    </row>
    <row r="60" spans="1:16" ht="47.25">
      <c r="A60" s="149">
        <v>11</v>
      </c>
      <c r="B60" s="354" t="s">
        <v>734</v>
      </c>
      <c r="C60" s="323" t="s">
        <v>744</v>
      </c>
      <c r="D60" s="245"/>
      <c r="E60" s="210">
        <v>0.18</v>
      </c>
      <c r="F60" s="246"/>
      <c r="G60" s="324" t="s">
        <v>745</v>
      </c>
      <c r="H60" s="325" t="s">
        <v>306</v>
      </c>
      <c r="I60" s="327">
        <v>39</v>
      </c>
      <c r="J60" s="243"/>
      <c r="K60" s="247">
        <f t="shared" si="5"/>
        <v>0</v>
      </c>
      <c r="L60" s="205">
        <f t="shared" si="6"/>
        <v>0</v>
      </c>
      <c r="M60" s="206" t="str">
        <f t="shared" si="2"/>
        <v/>
      </c>
      <c r="N60" s="208"/>
      <c r="O60" s="208"/>
      <c r="P60" s="209"/>
    </row>
    <row r="61" spans="1:16" ht="157.5">
      <c r="A61" s="149">
        <v>12</v>
      </c>
      <c r="B61" s="354" t="s">
        <v>737</v>
      </c>
      <c r="C61" s="323" t="s">
        <v>753</v>
      </c>
      <c r="D61" s="245"/>
      <c r="E61" s="210">
        <v>0.18</v>
      </c>
      <c r="F61" s="246"/>
      <c r="G61" s="319" t="s">
        <v>754</v>
      </c>
      <c r="H61" s="325" t="s">
        <v>306</v>
      </c>
      <c r="I61" s="327">
        <v>34</v>
      </c>
      <c r="J61" s="243"/>
      <c r="K61" s="247">
        <f t="shared" si="5"/>
        <v>0</v>
      </c>
      <c r="L61" s="205">
        <f t="shared" si="6"/>
        <v>0</v>
      </c>
      <c r="M61" s="206" t="str">
        <f t="shared" si="2"/>
        <v/>
      </c>
      <c r="N61" s="208"/>
      <c r="O61" s="208"/>
      <c r="P61" s="209"/>
    </row>
    <row r="62" spans="1:16" ht="157.5">
      <c r="A62" s="149">
        <v>13</v>
      </c>
      <c r="B62" s="354" t="s">
        <v>740</v>
      </c>
      <c r="C62" s="323" t="s">
        <v>820</v>
      </c>
      <c r="D62" s="245"/>
      <c r="E62" s="210">
        <v>0.18</v>
      </c>
      <c r="F62" s="246"/>
      <c r="G62" s="319" t="s">
        <v>571</v>
      </c>
      <c r="H62" s="325" t="s">
        <v>306</v>
      </c>
      <c r="I62" s="327">
        <v>5</v>
      </c>
      <c r="J62" s="243"/>
      <c r="K62" s="247">
        <f t="shared" si="5"/>
        <v>0</v>
      </c>
      <c r="L62" s="205">
        <f t="shared" si="6"/>
        <v>0</v>
      </c>
      <c r="M62" s="206" t="str">
        <f t="shared" si="2"/>
        <v/>
      </c>
      <c r="N62" s="208"/>
      <c r="O62" s="208"/>
      <c r="P62" s="209"/>
    </row>
    <row r="63" spans="1:16" ht="141.75">
      <c r="A63" s="149">
        <v>14</v>
      </c>
      <c r="B63" s="354" t="s">
        <v>743</v>
      </c>
      <c r="C63" s="323" t="s">
        <v>759</v>
      </c>
      <c r="D63" s="245"/>
      <c r="E63" s="210">
        <v>0.18</v>
      </c>
      <c r="F63" s="246"/>
      <c r="G63" s="324" t="s">
        <v>760</v>
      </c>
      <c r="H63" s="325" t="s">
        <v>284</v>
      </c>
      <c r="I63" s="327">
        <v>26</v>
      </c>
      <c r="J63" s="243"/>
      <c r="K63" s="247">
        <f t="shared" si="5"/>
        <v>0</v>
      </c>
      <c r="L63" s="205">
        <f t="shared" si="6"/>
        <v>0</v>
      </c>
      <c r="M63" s="206" t="str">
        <f t="shared" si="2"/>
        <v/>
      </c>
      <c r="N63" s="208"/>
      <c r="O63" s="208"/>
      <c r="P63" s="209"/>
    </row>
    <row r="64" spans="1:16" ht="153" customHeight="1">
      <c r="A64" s="149">
        <v>15</v>
      </c>
      <c r="B64" s="354" t="s">
        <v>746</v>
      </c>
      <c r="C64" s="323" t="s">
        <v>762</v>
      </c>
      <c r="D64" s="245"/>
      <c r="E64" s="210">
        <v>0.18</v>
      </c>
      <c r="F64" s="246"/>
      <c r="G64" s="324" t="s">
        <v>763</v>
      </c>
      <c r="H64" s="325" t="s">
        <v>284</v>
      </c>
      <c r="I64" s="327">
        <v>21</v>
      </c>
      <c r="J64" s="243"/>
      <c r="K64" s="247">
        <f t="shared" si="5"/>
        <v>0</v>
      </c>
      <c r="L64" s="205">
        <f t="shared" si="6"/>
        <v>0</v>
      </c>
      <c r="M64" s="206" t="str">
        <f t="shared" si="2"/>
        <v/>
      </c>
      <c r="N64" s="208"/>
      <c r="O64" s="208"/>
      <c r="P64" s="209"/>
    </row>
    <row r="65" spans="1:16" ht="94.5">
      <c r="A65" s="149">
        <v>16</v>
      </c>
      <c r="B65" s="354" t="s">
        <v>749</v>
      </c>
      <c r="C65" s="323" t="s">
        <v>765</v>
      </c>
      <c r="D65" s="245"/>
      <c r="E65" s="210">
        <v>0.18</v>
      </c>
      <c r="F65" s="246"/>
      <c r="G65" s="324" t="s">
        <v>821</v>
      </c>
      <c r="H65" s="325" t="s">
        <v>359</v>
      </c>
      <c r="I65" s="327">
        <v>20</v>
      </c>
      <c r="J65" s="243"/>
      <c r="K65" s="247">
        <f t="shared" si="5"/>
        <v>0</v>
      </c>
      <c r="L65" s="205">
        <f t="shared" si="6"/>
        <v>0</v>
      </c>
      <c r="M65" s="206" t="str">
        <f t="shared" si="2"/>
        <v/>
      </c>
      <c r="N65" s="208"/>
      <c r="O65" s="208"/>
      <c r="P65" s="209"/>
    </row>
    <row r="66" spans="1:16" ht="78.75">
      <c r="A66" s="149">
        <v>17</v>
      </c>
      <c r="B66" s="354" t="s">
        <v>752</v>
      </c>
      <c r="C66" s="323" t="s">
        <v>768</v>
      </c>
      <c r="D66" s="245"/>
      <c r="E66" s="210">
        <v>0.18</v>
      </c>
      <c r="F66" s="246"/>
      <c r="G66" s="324" t="s">
        <v>769</v>
      </c>
      <c r="H66" s="325" t="s">
        <v>306</v>
      </c>
      <c r="I66" s="327">
        <v>29</v>
      </c>
      <c r="J66" s="243"/>
      <c r="K66" s="247">
        <f t="shared" si="5"/>
        <v>0</v>
      </c>
      <c r="L66" s="205">
        <f t="shared" si="6"/>
        <v>0</v>
      </c>
      <c r="M66" s="206" t="str">
        <f t="shared" si="2"/>
        <v/>
      </c>
      <c r="N66" s="208"/>
      <c r="O66" s="208"/>
      <c r="P66" s="209"/>
    </row>
    <row r="67" spans="1:16" ht="47.25">
      <c r="A67" s="149">
        <v>18</v>
      </c>
      <c r="B67" s="354" t="s">
        <v>755</v>
      </c>
      <c r="C67" s="323" t="s">
        <v>750</v>
      </c>
      <c r="D67" s="245"/>
      <c r="E67" s="210">
        <v>0.18</v>
      </c>
      <c r="F67" s="246"/>
      <c r="G67" s="324" t="s">
        <v>751</v>
      </c>
      <c r="H67" s="325" t="s">
        <v>359</v>
      </c>
      <c r="I67" s="327">
        <v>15</v>
      </c>
      <c r="J67" s="243"/>
      <c r="K67" s="247">
        <f t="shared" si="5"/>
        <v>0</v>
      </c>
      <c r="L67" s="205">
        <f t="shared" si="6"/>
        <v>0</v>
      </c>
      <c r="M67" s="206" t="str">
        <f t="shared" si="2"/>
        <v/>
      </c>
      <c r="N67" s="208"/>
      <c r="O67" s="208"/>
      <c r="P67" s="209"/>
    </row>
    <row r="68" spans="1:16" ht="47.25">
      <c r="A68" s="149">
        <v>19</v>
      </c>
      <c r="B68" s="354" t="s">
        <v>758</v>
      </c>
      <c r="C68" s="323" t="s">
        <v>822</v>
      </c>
      <c r="D68" s="245"/>
      <c r="E68" s="210">
        <v>0.18</v>
      </c>
      <c r="F68" s="246"/>
      <c r="G68" s="324" t="s">
        <v>823</v>
      </c>
      <c r="H68" s="325" t="s">
        <v>359</v>
      </c>
      <c r="I68" s="327">
        <v>8</v>
      </c>
      <c r="J68" s="243"/>
      <c r="K68" s="247">
        <f t="shared" si="5"/>
        <v>0</v>
      </c>
      <c r="L68" s="205">
        <f t="shared" si="6"/>
        <v>0</v>
      </c>
      <c r="M68" s="206" t="str">
        <f t="shared" si="2"/>
        <v/>
      </c>
      <c r="N68" s="208"/>
      <c r="O68" s="208"/>
      <c r="P68" s="209"/>
    </row>
    <row r="69" spans="1:16" ht="47.25">
      <c r="A69" s="149">
        <v>20</v>
      </c>
      <c r="B69" s="354" t="s">
        <v>761</v>
      </c>
      <c r="C69" s="323" t="s">
        <v>824</v>
      </c>
      <c r="D69" s="245"/>
      <c r="E69" s="210">
        <v>0.18</v>
      </c>
      <c r="F69" s="246"/>
      <c r="G69" s="324" t="s">
        <v>825</v>
      </c>
      <c r="H69" s="325" t="s">
        <v>359</v>
      </c>
      <c r="I69" s="327">
        <v>9</v>
      </c>
      <c r="J69" s="243"/>
      <c r="K69" s="247">
        <f t="shared" si="5"/>
        <v>0</v>
      </c>
      <c r="L69" s="205">
        <f t="shared" si="6"/>
        <v>0</v>
      </c>
      <c r="M69" s="206" t="str">
        <f t="shared" si="2"/>
        <v/>
      </c>
      <c r="N69" s="208"/>
      <c r="O69" s="208"/>
      <c r="P69" s="209"/>
    </row>
    <row r="70" spans="1:16" ht="47.25">
      <c r="A70" s="149">
        <v>21</v>
      </c>
      <c r="B70" s="354" t="s">
        <v>764</v>
      </c>
      <c r="C70" s="323" t="s">
        <v>826</v>
      </c>
      <c r="D70" s="245"/>
      <c r="E70" s="210">
        <v>0.18</v>
      </c>
      <c r="F70" s="246"/>
      <c r="G70" s="324" t="s">
        <v>827</v>
      </c>
      <c r="H70" s="325" t="s">
        <v>359</v>
      </c>
      <c r="I70" s="327">
        <v>9</v>
      </c>
      <c r="J70" s="243"/>
      <c r="K70" s="247">
        <f t="shared" si="5"/>
        <v>0</v>
      </c>
      <c r="L70" s="205">
        <f t="shared" si="6"/>
        <v>0</v>
      </c>
      <c r="M70" s="206" t="str">
        <f t="shared" si="2"/>
        <v/>
      </c>
      <c r="N70" s="208"/>
      <c r="O70" s="208"/>
      <c r="P70" s="209"/>
    </row>
    <row r="71" spans="1:16" ht="63">
      <c r="A71" s="149">
        <v>22</v>
      </c>
      <c r="B71" s="354" t="s">
        <v>767</v>
      </c>
      <c r="C71" s="323" t="s">
        <v>828</v>
      </c>
      <c r="D71" s="245"/>
      <c r="E71" s="210">
        <v>0.18</v>
      </c>
      <c r="F71" s="246"/>
      <c r="G71" s="324" t="s">
        <v>829</v>
      </c>
      <c r="H71" s="325" t="s">
        <v>359</v>
      </c>
      <c r="I71" s="327">
        <v>9</v>
      </c>
      <c r="J71" s="243"/>
      <c r="K71" s="247">
        <f t="shared" si="5"/>
        <v>0</v>
      </c>
      <c r="L71" s="205">
        <f t="shared" si="6"/>
        <v>0</v>
      </c>
      <c r="M71" s="206" t="str">
        <f t="shared" si="2"/>
        <v/>
      </c>
      <c r="N71" s="208"/>
      <c r="O71" s="208"/>
      <c r="P71" s="209"/>
    </row>
    <row r="72" spans="1:16" ht="47.25">
      <c r="A72" s="149">
        <v>23</v>
      </c>
      <c r="B72" s="354" t="s">
        <v>771</v>
      </c>
      <c r="C72" s="323" t="s">
        <v>830</v>
      </c>
      <c r="D72" s="245"/>
      <c r="E72" s="210">
        <v>0.18</v>
      </c>
      <c r="F72" s="246"/>
      <c r="G72" s="324" t="s">
        <v>831</v>
      </c>
      <c r="H72" s="325" t="s">
        <v>306</v>
      </c>
      <c r="I72" s="327">
        <v>47</v>
      </c>
      <c r="J72" s="243"/>
      <c r="K72" s="247">
        <f t="shared" si="5"/>
        <v>0</v>
      </c>
      <c r="L72" s="205">
        <f t="shared" si="6"/>
        <v>0</v>
      </c>
      <c r="M72" s="206" t="str">
        <f t="shared" si="2"/>
        <v/>
      </c>
      <c r="N72" s="208"/>
      <c r="O72" s="208"/>
      <c r="P72" s="209"/>
    </row>
    <row r="73" spans="1:16" ht="63">
      <c r="A73" s="149">
        <v>24</v>
      </c>
      <c r="B73" s="354" t="s">
        <v>774</v>
      </c>
      <c r="C73" s="323" t="s">
        <v>832</v>
      </c>
      <c r="D73" s="245"/>
      <c r="E73" s="210">
        <v>0.18</v>
      </c>
      <c r="F73" s="246"/>
      <c r="G73" s="324" t="s">
        <v>833</v>
      </c>
      <c r="H73" s="325" t="s">
        <v>359</v>
      </c>
      <c r="I73" s="327">
        <v>8</v>
      </c>
      <c r="J73" s="243"/>
      <c r="K73" s="247">
        <f t="shared" si="5"/>
        <v>0</v>
      </c>
      <c r="L73" s="205">
        <f t="shared" si="6"/>
        <v>0</v>
      </c>
      <c r="M73" s="206" t="str">
        <f t="shared" si="2"/>
        <v/>
      </c>
      <c r="N73" s="208"/>
      <c r="O73" s="208"/>
      <c r="P73" s="209"/>
    </row>
    <row r="74" spans="1:16" ht="94.5">
      <c r="A74" s="149">
        <v>25</v>
      </c>
      <c r="B74" s="354" t="s">
        <v>777</v>
      </c>
      <c r="C74" s="323" t="s">
        <v>796</v>
      </c>
      <c r="D74" s="245"/>
      <c r="E74" s="210">
        <v>0.18</v>
      </c>
      <c r="F74" s="246"/>
      <c r="G74" s="324" t="s">
        <v>834</v>
      </c>
      <c r="H74" s="325" t="s">
        <v>359</v>
      </c>
      <c r="I74" s="327">
        <v>9</v>
      </c>
      <c r="J74" s="243"/>
      <c r="K74" s="247">
        <f t="shared" si="5"/>
        <v>0</v>
      </c>
      <c r="L74" s="205">
        <f t="shared" si="6"/>
        <v>0</v>
      </c>
      <c r="M74" s="206" t="str">
        <f t="shared" si="2"/>
        <v/>
      </c>
      <c r="N74" s="208"/>
      <c r="O74" s="208"/>
      <c r="P74" s="209"/>
    </row>
    <row r="75" spans="1:16" ht="94.5">
      <c r="A75" s="149">
        <v>26</v>
      </c>
      <c r="B75" s="354" t="s">
        <v>780</v>
      </c>
      <c r="C75" s="323" t="s">
        <v>772</v>
      </c>
      <c r="D75" s="245"/>
      <c r="E75" s="210">
        <v>0.18</v>
      </c>
      <c r="F75" s="246"/>
      <c r="G75" s="324" t="s">
        <v>773</v>
      </c>
      <c r="H75" s="325" t="s">
        <v>359</v>
      </c>
      <c r="I75" s="327">
        <v>8</v>
      </c>
      <c r="J75" s="243"/>
      <c r="K75" s="247">
        <f t="shared" si="5"/>
        <v>0</v>
      </c>
      <c r="L75" s="205">
        <f t="shared" si="6"/>
        <v>0</v>
      </c>
      <c r="M75" s="206" t="str">
        <f t="shared" si="2"/>
        <v/>
      </c>
      <c r="N75" s="208"/>
      <c r="O75" s="208"/>
      <c r="P75" s="209"/>
    </row>
    <row r="76" spans="1:16" ht="63">
      <c r="A76" s="149">
        <v>27</v>
      </c>
      <c r="B76" s="354" t="s">
        <v>783</v>
      </c>
      <c r="C76" s="323" t="s">
        <v>784</v>
      </c>
      <c r="D76" s="245"/>
      <c r="E76" s="210">
        <v>0.18</v>
      </c>
      <c r="F76" s="246"/>
      <c r="G76" s="324" t="s">
        <v>785</v>
      </c>
      <c r="H76" s="325" t="s">
        <v>359</v>
      </c>
      <c r="I76" s="327">
        <v>8</v>
      </c>
      <c r="J76" s="243"/>
      <c r="K76" s="247">
        <f t="shared" si="5"/>
        <v>0</v>
      </c>
      <c r="L76" s="205">
        <f t="shared" si="6"/>
        <v>0</v>
      </c>
      <c r="M76" s="206" t="str">
        <f t="shared" ref="M76:M138" si="7">IF($P$9&lt;&gt;$P$8,IF(OR(J76="",J76=0),"Included in other item",""),"")</f>
        <v/>
      </c>
      <c r="N76" s="208"/>
      <c r="O76" s="208"/>
      <c r="P76" s="209"/>
    </row>
    <row r="77" spans="1:16" ht="63">
      <c r="A77" s="149">
        <v>28</v>
      </c>
      <c r="B77" s="354" t="s">
        <v>786</v>
      </c>
      <c r="C77" s="323" t="s">
        <v>802</v>
      </c>
      <c r="D77" s="245"/>
      <c r="E77" s="210">
        <v>0.18</v>
      </c>
      <c r="F77" s="246"/>
      <c r="G77" s="324" t="s">
        <v>803</v>
      </c>
      <c r="H77" s="325" t="s">
        <v>359</v>
      </c>
      <c r="I77" s="327">
        <v>4</v>
      </c>
      <c r="J77" s="243"/>
      <c r="K77" s="247">
        <f t="shared" si="5"/>
        <v>0</v>
      </c>
      <c r="L77" s="205">
        <f t="shared" si="6"/>
        <v>0</v>
      </c>
      <c r="M77" s="206" t="str">
        <f t="shared" si="7"/>
        <v/>
      </c>
      <c r="N77" s="208"/>
      <c r="O77" s="208"/>
      <c r="P77" s="209"/>
    </row>
    <row r="78" spans="1:16" ht="63">
      <c r="A78" s="149">
        <v>29</v>
      </c>
      <c r="B78" s="354" t="s">
        <v>789</v>
      </c>
      <c r="C78" s="323" t="s">
        <v>805</v>
      </c>
      <c r="D78" s="245"/>
      <c r="E78" s="210">
        <v>0.18</v>
      </c>
      <c r="F78" s="246"/>
      <c r="G78" s="324" t="s">
        <v>806</v>
      </c>
      <c r="H78" s="325" t="s">
        <v>359</v>
      </c>
      <c r="I78" s="327">
        <v>4</v>
      </c>
      <c r="J78" s="243"/>
      <c r="K78" s="247">
        <f t="shared" si="5"/>
        <v>0</v>
      </c>
      <c r="L78" s="205">
        <f t="shared" si="6"/>
        <v>0</v>
      </c>
      <c r="M78" s="206" t="str">
        <f t="shared" si="7"/>
        <v/>
      </c>
      <c r="N78" s="208"/>
      <c r="O78" s="208"/>
      <c r="P78" s="209"/>
    </row>
    <row r="79" spans="1:16" ht="63">
      <c r="A79" s="149">
        <v>30</v>
      </c>
      <c r="B79" s="354" t="s">
        <v>792</v>
      </c>
      <c r="C79" s="323" t="s">
        <v>808</v>
      </c>
      <c r="D79" s="245"/>
      <c r="E79" s="210">
        <v>0.18</v>
      </c>
      <c r="F79" s="246"/>
      <c r="G79" s="324" t="s">
        <v>809</v>
      </c>
      <c r="H79" s="325" t="s">
        <v>359</v>
      </c>
      <c r="I79" s="327">
        <v>5</v>
      </c>
      <c r="J79" s="243"/>
      <c r="K79" s="247">
        <f t="shared" si="5"/>
        <v>0</v>
      </c>
      <c r="L79" s="205">
        <f t="shared" si="6"/>
        <v>0</v>
      </c>
      <c r="M79" s="206" t="str">
        <f t="shared" si="7"/>
        <v/>
      </c>
      <c r="N79" s="208"/>
      <c r="O79" s="208"/>
      <c r="P79" s="209"/>
    </row>
    <row r="80" spans="1:16" ht="63">
      <c r="A80" s="149">
        <v>31</v>
      </c>
      <c r="B80" s="354" t="s">
        <v>795</v>
      </c>
      <c r="C80" s="323" t="s">
        <v>811</v>
      </c>
      <c r="D80" s="245"/>
      <c r="E80" s="210">
        <v>0.18</v>
      </c>
      <c r="F80" s="246"/>
      <c r="G80" s="324" t="s">
        <v>812</v>
      </c>
      <c r="H80" s="325" t="s">
        <v>359</v>
      </c>
      <c r="I80" s="327">
        <v>2</v>
      </c>
      <c r="J80" s="243"/>
      <c r="K80" s="247">
        <f t="shared" si="5"/>
        <v>0</v>
      </c>
      <c r="L80" s="205">
        <f t="shared" si="6"/>
        <v>0</v>
      </c>
      <c r="M80" s="206" t="str">
        <f t="shared" si="7"/>
        <v/>
      </c>
      <c r="N80" s="208"/>
      <c r="O80" s="208"/>
      <c r="P80" s="209"/>
    </row>
    <row r="81" spans="1:16" ht="78.75">
      <c r="A81" s="149">
        <v>32</v>
      </c>
      <c r="B81" s="354" t="s">
        <v>798</v>
      </c>
      <c r="C81" s="323" t="s">
        <v>835</v>
      </c>
      <c r="D81" s="245"/>
      <c r="E81" s="210">
        <v>0.18</v>
      </c>
      <c r="F81" s="246"/>
      <c r="G81" s="324" t="s">
        <v>800</v>
      </c>
      <c r="H81" s="325" t="s">
        <v>359</v>
      </c>
      <c r="I81" s="327">
        <v>16</v>
      </c>
      <c r="J81" s="243"/>
      <c r="K81" s="247">
        <f t="shared" si="5"/>
        <v>0</v>
      </c>
      <c r="L81" s="205">
        <f t="shared" si="6"/>
        <v>0</v>
      </c>
      <c r="M81" s="206" t="str">
        <f t="shared" si="7"/>
        <v/>
      </c>
      <c r="N81" s="208"/>
      <c r="O81" s="208"/>
      <c r="P81" s="209"/>
    </row>
    <row r="82" spans="1:16" ht="16.5">
      <c r="A82" s="224"/>
      <c r="B82" s="225"/>
      <c r="C82" s="226"/>
      <c r="D82" s="226"/>
      <c r="E82" s="226"/>
      <c r="F82" s="228"/>
      <c r="G82" s="313" t="s">
        <v>836</v>
      </c>
      <c r="H82" s="233"/>
      <c r="I82" s="233"/>
      <c r="J82" s="233"/>
      <c r="K82" s="309">
        <f>SUM(K50:K81)</f>
        <v>0</v>
      </c>
      <c r="L82" s="309">
        <f>SUM(L50:L81)</f>
        <v>0</v>
      </c>
      <c r="M82" s="206"/>
      <c r="N82" s="208"/>
      <c r="O82" s="208"/>
      <c r="P82" s="209"/>
    </row>
    <row r="83" spans="1:16" ht="15.75">
      <c r="A83" s="149"/>
      <c r="B83" s="354"/>
      <c r="C83" s="323"/>
      <c r="D83" s="245"/>
      <c r="E83" s="210"/>
      <c r="F83" s="246"/>
      <c r="G83" s="324"/>
      <c r="H83" s="325"/>
      <c r="I83" s="327"/>
      <c r="J83" s="243"/>
      <c r="K83" s="247"/>
      <c r="L83" s="205"/>
      <c r="M83" s="206"/>
      <c r="N83" s="208"/>
      <c r="O83" s="208"/>
      <c r="P83" s="209"/>
    </row>
    <row r="84" spans="1:16" ht="16.5">
      <c r="A84" s="251" t="s">
        <v>837</v>
      </c>
      <c r="B84" s="252"/>
      <c r="C84" s="253"/>
      <c r="D84" s="253"/>
      <c r="E84" s="253"/>
      <c r="F84" s="254"/>
      <c r="G84" s="315" t="s">
        <v>838</v>
      </c>
      <c r="H84" s="255"/>
      <c r="I84" s="256"/>
      <c r="J84" s="243"/>
      <c r="K84" s="247"/>
      <c r="L84" s="205"/>
      <c r="M84" s="206"/>
      <c r="N84" s="208"/>
      <c r="O84" s="208"/>
      <c r="P84" s="209"/>
    </row>
    <row r="85" spans="1:16" ht="31.5">
      <c r="A85" s="149">
        <v>1</v>
      </c>
      <c r="B85" s="302" t="s">
        <v>703</v>
      </c>
      <c r="C85" s="331" t="s">
        <v>839</v>
      </c>
      <c r="D85" s="245"/>
      <c r="E85" s="210">
        <v>0.18</v>
      </c>
      <c r="F85" s="246"/>
      <c r="G85" s="314" t="s">
        <v>840</v>
      </c>
      <c r="H85" s="295" t="s">
        <v>359</v>
      </c>
      <c r="I85" s="311">
        <v>20</v>
      </c>
      <c r="J85" s="243"/>
      <c r="K85" s="247">
        <f t="shared" ref="K85" si="8">ROUND(J85*I85,2)</f>
        <v>0</v>
      </c>
      <c r="L85" s="205">
        <f t="shared" ref="L85" si="9">ROUND(K85*E85,2)</f>
        <v>0</v>
      </c>
      <c r="M85" s="206" t="str">
        <f t="shared" si="7"/>
        <v/>
      </c>
      <c r="N85" s="208"/>
      <c r="O85" s="208"/>
      <c r="P85" s="209"/>
    </row>
    <row r="86" spans="1:16" ht="60">
      <c r="A86" s="310">
        <f>+A85+1</f>
        <v>2</v>
      </c>
      <c r="B86" s="302" t="s">
        <v>706</v>
      </c>
      <c r="C86" s="331" t="s">
        <v>841</v>
      </c>
      <c r="D86" s="245"/>
      <c r="E86" s="210">
        <v>0.18</v>
      </c>
      <c r="F86" s="246"/>
      <c r="G86" s="314" t="s">
        <v>842</v>
      </c>
      <c r="H86" s="295" t="s">
        <v>359</v>
      </c>
      <c r="I86" s="311">
        <v>3</v>
      </c>
      <c r="J86" s="243"/>
      <c r="K86" s="247">
        <f t="shared" ref="K86:K106" si="10">ROUND(J86*I86,2)</f>
        <v>0</v>
      </c>
      <c r="L86" s="205">
        <f t="shared" ref="L86:L106" si="11">ROUND(K86*E86,2)</f>
        <v>0</v>
      </c>
      <c r="M86" s="206" t="str">
        <f t="shared" si="7"/>
        <v/>
      </c>
      <c r="N86" s="208"/>
      <c r="O86" s="208"/>
      <c r="P86" s="209"/>
    </row>
    <row r="87" spans="1:16" ht="47.25">
      <c r="A87" s="310">
        <f t="shared" ref="A87:A106" si="12">+A86+1</f>
        <v>3</v>
      </c>
      <c r="B87" s="302" t="s">
        <v>709</v>
      </c>
      <c r="C87" s="331" t="s">
        <v>843</v>
      </c>
      <c r="D87" s="245"/>
      <c r="E87" s="210">
        <v>0.18</v>
      </c>
      <c r="F87" s="246"/>
      <c r="G87" s="314" t="s">
        <v>844</v>
      </c>
      <c r="H87" s="295" t="s">
        <v>359</v>
      </c>
      <c r="I87" s="311">
        <v>15</v>
      </c>
      <c r="J87" s="243"/>
      <c r="K87" s="247">
        <f t="shared" si="10"/>
        <v>0</v>
      </c>
      <c r="L87" s="205">
        <f t="shared" si="11"/>
        <v>0</v>
      </c>
      <c r="M87" s="206" t="str">
        <f t="shared" si="7"/>
        <v/>
      </c>
      <c r="N87" s="208"/>
      <c r="O87" s="208"/>
      <c r="P87" s="209"/>
    </row>
    <row r="88" spans="1:16" ht="60">
      <c r="A88" s="310">
        <f t="shared" si="12"/>
        <v>4</v>
      </c>
      <c r="B88" s="302" t="s">
        <v>712</v>
      </c>
      <c r="C88" s="331" t="s">
        <v>845</v>
      </c>
      <c r="D88" s="245"/>
      <c r="E88" s="210">
        <v>0.18</v>
      </c>
      <c r="F88" s="246"/>
      <c r="G88" s="314" t="s">
        <v>846</v>
      </c>
      <c r="H88" s="295" t="s">
        <v>359</v>
      </c>
      <c r="I88" s="311">
        <v>239</v>
      </c>
      <c r="J88" s="243"/>
      <c r="K88" s="247">
        <f t="shared" si="10"/>
        <v>0</v>
      </c>
      <c r="L88" s="205">
        <f t="shared" si="11"/>
        <v>0</v>
      </c>
      <c r="M88" s="206" t="str">
        <f t="shared" si="7"/>
        <v/>
      </c>
      <c r="N88" s="208"/>
      <c r="O88" s="208"/>
      <c r="P88" s="209"/>
    </row>
    <row r="89" spans="1:16" ht="45">
      <c r="A89" s="310">
        <f t="shared" si="12"/>
        <v>5</v>
      </c>
      <c r="B89" s="302" t="s">
        <v>715</v>
      </c>
      <c r="C89" s="331" t="s">
        <v>847</v>
      </c>
      <c r="D89" s="245"/>
      <c r="E89" s="210">
        <v>0.18</v>
      </c>
      <c r="F89" s="246"/>
      <c r="G89" s="314" t="s">
        <v>848</v>
      </c>
      <c r="H89" s="295" t="s">
        <v>359</v>
      </c>
      <c r="I89" s="311">
        <v>28</v>
      </c>
      <c r="J89" s="243"/>
      <c r="K89" s="247">
        <f t="shared" si="10"/>
        <v>0</v>
      </c>
      <c r="L89" s="205">
        <f t="shared" si="11"/>
        <v>0</v>
      </c>
      <c r="M89" s="206" t="str">
        <f t="shared" si="7"/>
        <v/>
      </c>
      <c r="N89" s="208"/>
      <c r="O89" s="208"/>
      <c r="P89" s="209"/>
    </row>
    <row r="90" spans="1:16" ht="45">
      <c r="A90" s="310">
        <f t="shared" si="12"/>
        <v>6</v>
      </c>
      <c r="B90" s="302" t="s">
        <v>718</v>
      </c>
      <c r="C90" s="331" t="s">
        <v>849</v>
      </c>
      <c r="D90" s="245"/>
      <c r="E90" s="210">
        <v>0.18</v>
      </c>
      <c r="F90" s="246"/>
      <c r="G90" s="314" t="s">
        <v>850</v>
      </c>
      <c r="H90" s="295" t="s">
        <v>284</v>
      </c>
      <c r="I90" s="311">
        <v>105</v>
      </c>
      <c r="J90" s="243"/>
      <c r="K90" s="247">
        <f t="shared" si="10"/>
        <v>0</v>
      </c>
      <c r="L90" s="205">
        <f t="shared" si="11"/>
        <v>0</v>
      </c>
      <c r="M90" s="206" t="str">
        <f t="shared" si="7"/>
        <v/>
      </c>
      <c r="N90" s="208"/>
      <c r="O90" s="208"/>
      <c r="P90" s="209"/>
    </row>
    <row r="91" spans="1:16" ht="60">
      <c r="A91" s="310">
        <f t="shared" si="12"/>
        <v>7</v>
      </c>
      <c r="B91" s="302" t="s">
        <v>721</v>
      </c>
      <c r="C91" s="331" t="s">
        <v>851</v>
      </c>
      <c r="D91" s="245"/>
      <c r="E91" s="210">
        <v>0.18</v>
      </c>
      <c r="F91" s="246"/>
      <c r="G91" s="314" t="s">
        <v>852</v>
      </c>
      <c r="H91" s="295" t="s">
        <v>359</v>
      </c>
      <c r="I91" s="311">
        <v>26</v>
      </c>
      <c r="J91" s="243"/>
      <c r="K91" s="247">
        <f t="shared" si="10"/>
        <v>0</v>
      </c>
      <c r="L91" s="205">
        <f t="shared" si="11"/>
        <v>0</v>
      </c>
      <c r="M91" s="206" t="str">
        <f t="shared" si="7"/>
        <v/>
      </c>
      <c r="N91" s="208"/>
      <c r="O91" s="208"/>
      <c r="P91" s="209"/>
    </row>
    <row r="92" spans="1:16" ht="63">
      <c r="A92" s="310">
        <f t="shared" si="12"/>
        <v>8</v>
      </c>
      <c r="B92" s="302" t="s">
        <v>724</v>
      </c>
      <c r="C92" s="331" t="s">
        <v>853</v>
      </c>
      <c r="D92" s="245"/>
      <c r="E92" s="210">
        <v>0.18</v>
      </c>
      <c r="F92" s="246"/>
      <c r="G92" s="314" t="s">
        <v>854</v>
      </c>
      <c r="H92" s="295" t="s">
        <v>359</v>
      </c>
      <c r="I92" s="311">
        <v>25</v>
      </c>
      <c r="J92" s="243"/>
      <c r="K92" s="247">
        <f t="shared" si="10"/>
        <v>0</v>
      </c>
      <c r="L92" s="205">
        <f t="shared" si="11"/>
        <v>0</v>
      </c>
      <c r="M92" s="206" t="str">
        <f t="shared" si="7"/>
        <v/>
      </c>
      <c r="N92" s="208"/>
      <c r="O92" s="208"/>
      <c r="P92" s="209"/>
    </row>
    <row r="93" spans="1:16" ht="60">
      <c r="A93" s="310">
        <f t="shared" si="12"/>
        <v>9</v>
      </c>
      <c r="B93" s="302" t="s">
        <v>727</v>
      </c>
      <c r="C93" s="331" t="s">
        <v>855</v>
      </c>
      <c r="D93" s="245"/>
      <c r="E93" s="210">
        <v>0.18</v>
      </c>
      <c r="F93" s="246"/>
      <c r="G93" s="314" t="s">
        <v>856</v>
      </c>
      <c r="H93" s="295" t="s">
        <v>359</v>
      </c>
      <c r="I93" s="311">
        <v>8</v>
      </c>
      <c r="J93" s="243"/>
      <c r="K93" s="247">
        <f t="shared" si="10"/>
        <v>0</v>
      </c>
      <c r="L93" s="205">
        <f t="shared" si="11"/>
        <v>0</v>
      </c>
      <c r="M93" s="206" t="str">
        <f t="shared" si="7"/>
        <v/>
      </c>
      <c r="N93" s="208"/>
      <c r="O93" s="208"/>
      <c r="P93" s="209"/>
    </row>
    <row r="94" spans="1:16" ht="45">
      <c r="A94" s="310">
        <f t="shared" si="12"/>
        <v>10</v>
      </c>
      <c r="B94" s="302" t="s">
        <v>731</v>
      </c>
      <c r="C94" s="331" t="s">
        <v>857</v>
      </c>
      <c r="D94" s="245"/>
      <c r="E94" s="210">
        <v>0.18</v>
      </c>
      <c r="F94" s="246"/>
      <c r="G94" s="314" t="s">
        <v>858</v>
      </c>
      <c r="H94" s="295" t="s">
        <v>359</v>
      </c>
      <c r="I94" s="311">
        <v>14</v>
      </c>
      <c r="J94" s="243"/>
      <c r="K94" s="247">
        <f t="shared" si="10"/>
        <v>0</v>
      </c>
      <c r="L94" s="205">
        <f t="shared" si="11"/>
        <v>0</v>
      </c>
      <c r="M94" s="206" t="str">
        <f t="shared" si="7"/>
        <v/>
      </c>
      <c r="N94" s="208"/>
      <c r="O94" s="208"/>
      <c r="P94" s="209"/>
    </row>
    <row r="95" spans="1:16" ht="60">
      <c r="A95" s="310">
        <f t="shared" si="12"/>
        <v>11</v>
      </c>
      <c r="B95" s="302" t="s">
        <v>734</v>
      </c>
      <c r="C95" s="331" t="s">
        <v>859</v>
      </c>
      <c r="D95" s="245"/>
      <c r="E95" s="210">
        <v>0.18</v>
      </c>
      <c r="F95" s="246"/>
      <c r="G95" s="314" t="s">
        <v>860</v>
      </c>
      <c r="H95" s="295" t="s">
        <v>359</v>
      </c>
      <c r="I95" s="311">
        <v>12</v>
      </c>
      <c r="J95" s="243"/>
      <c r="K95" s="247">
        <f t="shared" si="10"/>
        <v>0</v>
      </c>
      <c r="L95" s="205">
        <f t="shared" si="11"/>
        <v>0</v>
      </c>
      <c r="M95" s="206" t="str">
        <f t="shared" si="7"/>
        <v/>
      </c>
      <c r="N95" s="208"/>
      <c r="O95" s="208"/>
      <c r="P95" s="209"/>
    </row>
    <row r="96" spans="1:16" ht="60">
      <c r="A96" s="310">
        <f t="shared" si="12"/>
        <v>12</v>
      </c>
      <c r="B96" s="302" t="s">
        <v>737</v>
      </c>
      <c r="C96" s="331" t="s">
        <v>861</v>
      </c>
      <c r="D96" s="245"/>
      <c r="E96" s="210">
        <v>0.18</v>
      </c>
      <c r="F96" s="246"/>
      <c r="G96" s="314" t="s">
        <v>862</v>
      </c>
      <c r="H96" s="295" t="s">
        <v>284</v>
      </c>
      <c r="I96" s="311">
        <v>3</v>
      </c>
      <c r="J96" s="243"/>
      <c r="K96" s="247">
        <f t="shared" si="10"/>
        <v>0</v>
      </c>
      <c r="L96" s="205">
        <f t="shared" si="11"/>
        <v>0</v>
      </c>
      <c r="M96" s="206" t="str">
        <f t="shared" si="7"/>
        <v/>
      </c>
      <c r="N96" s="208"/>
      <c r="O96" s="208"/>
      <c r="P96" s="209"/>
    </row>
    <row r="97" spans="1:16" ht="78.75">
      <c r="A97" s="310">
        <f t="shared" si="12"/>
        <v>13</v>
      </c>
      <c r="B97" s="302" t="s">
        <v>740</v>
      </c>
      <c r="C97" s="331" t="s">
        <v>863</v>
      </c>
      <c r="D97" s="245"/>
      <c r="E97" s="210">
        <v>0.18</v>
      </c>
      <c r="F97" s="246"/>
      <c r="G97" s="314" t="s">
        <v>864</v>
      </c>
      <c r="H97" s="295" t="s">
        <v>359</v>
      </c>
      <c r="I97" s="311">
        <v>105</v>
      </c>
      <c r="J97" s="243"/>
      <c r="K97" s="247">
        <f t="shared" si="10"/>
        <v>0</v>
      </c>
      <c r="L97" s="205">
        <f t="shared" si="11"/>
        <v>0</v>
      </c>
      <c r="M97" s="206" t="str">
        <f t="shared" si="7"/>
        <v/>
      </c>
      <c r="N97" s="208"/>
      <c r="O97" s="208"/>
      <c r="P97" s="209"/>
    </row>
    <row r="98" spans="1:16" ht="78.75">
      <c r="A98" s="310">
        <f t="shared" si="12"/>
        <v>14</v>
      </c>
      <c r="B98" s="302" t="s">
        <v>743</v>
      </c>
      <c r="C98" s="331" t="s">
        <v>865</v>
      </c>
      <c r="D98" s="245"/>
      <c r="E98" s="210">
        <v>0.18</v>
      </c>
      <c r="F98" s="246"/>
      <c r="G98" s="314" t="s">
        <v>866</v>
      </c>
      <c r="H98" s="295" t="s">
        <v>359</v>
      </c>
      <c r="I98" s="311">
        <v>100</v>
      </c>
      <c r="J98" s="243"/>
      <c r="K98" s="247">
        <f t="shared" si="10"/>
        <v>0</v>
      </c>
      <c r="L98" s="205">
        <f t="shared" si="11"/>
        <v>0</v>
      </c>
      <c r="M98" s="206" t="str">
        <f t="shared" si="7"/>
        <v/>
      </c>
      <c r="N98" s="208"/>
      <c r="O98" s="208"/>
      <c r="P98" s="209"/>
    </row>
    <row r="99" spans="1:16" ht="78.75">
      <c r="A99" s="310">
        <f t="shared" si="12"/>
        <v>15</v>
      </c>
      <c r="B99" s="302" t="s">
        <v>746</v>
      </c>
      <c r="C99" s="331" t="s">
        <v>867</v>
      </c>
      <c r="D99" s="245"/>
      <c r="E99" s="210">
        <v>0.18</v>
      </c>
      <c r="F99" s="246"/>
      <c r="G99" s="314" t="s">
        <v>868</v>
      </c>
      <c r="H99" s="295" t="s">
        <v>359</v>
      </c>
      <c r="I99" s="311">
        <v>74</v>
      </c>
      <c r="J99" s="243"/>
      <c r="K99" s="247">
        <f t="shared" si="10"/>
        <v>0</v>
      </c>
      <c r="L99" s="205">
        <f t="shared" si="11"/>
        <v>0</v>
      </c>
      <c r="M99" s="206" t="str">
        <f t="shared" si="7"/>
        <v/>
      </c>
      <c r="N99" s="208"/>
      <c r="O99" s="208"/>
      <c r="P99" s="209"/>
    </row>
    <row r="100" spans="1:16" ht="78.75">
      <c r="A100" s="310">
        <f t="shared" si="12"/>
        <v>16</v>
      </c>
      <c r="B100" s="302" t="s">
        <v>749</v>
      </c>
      <c r="C100" s="331" t="s">
        <v>869</v>
      </c>
      <c r="D100" s="245"/>
      <c r="E100" s="210">
        <v>0.18</v>
      </c>
      <c r="F100" s="246"/>
      <c r="G100" s="314" t="s">
        <v>870</v>
      </c>
      <c r="H100" s="295" t="s">
        <v>359</v>
      </c>
      <c r="I100" s="311">
        <v>630</v>
      </c>
      <c r="J100" s="243"/>
      <c r="K100" s="247">
        <f t="shared" si="10"/>
        <v>0</v>
      </c>
      <c r="L100" s="205">
        <f t="shared" si="11"/>
        <v>0</v>
      </c>
      <c r="M100" s="206" t="str">
        <f t="shared" si="7"/>
        <v/>
      </c>
      <c r="N100" s="208"/>
      <c r="O100" s="208"/>
      <c r="P100" s="209"/>
    </row>
    <row r="101" spans="1:16" ht="75">
      <c r="A101" s="310">
        <f t="shared" si="12"/>
        <v>17</v>
      </c>
      <c r="B101" s="302" t="s">
        <v>752</v>
      </c>
      <c r="C101" s="331" t="s">
        <v>871</v>
      </c>
      <c r="D101" s="245"/>
      <c r="E101" s="210">
        <v>0.18</v>
      </c>
      <c r="F101" s="246"/>
      <c r="G101" s="314" t="s">
        <v>872</v>
      </c>
      <c r="H101" s="295" t="s">
        <v>359</v>
      </c>
      <c r="I101" s="311">
        <v>13</v>
      </c>
      <c r="J101" s="243"/>
      <c r="K101" s="247">
        <f t="shared" si="10"/>
        <v>0</v>
      </c>
      <c r="L101" s="205">
        <f t="shared" si="11"/>
        <v>0</v>
      </c>
      <c r="M101" s="206" t="str">
        <f t="shared" si="7"/>
        <v/>
      </c>
      <c r="N101" s="208"/>
      <c r="O101" s="208"/>
      <c r="P101" s="209"/>
    </row>
    <row r="102" spans="1:16" ht="60">
      <c r="A102" s="310">
        <f t="shared" si="12"/>
        <v>18</v>
      </c>
      <c r="B102" s="302" t="s">
        <v>755</v>
      </c>
      <c r="C102" s="331" t="s">
        <v>873</v>
      </c>
      <c r="D102" s="245"/>
      <c r="E102" s="210">
        <v>0.18</v>
      </c>
      <c r="F102" s="246"/>
      <c r="G102" s="314" t="s">
        <v>874</v>
      </c>
      <c r="H102" s="295" t="s">
        <v>359</v>
      </c>
      <c r="I102" s="311">
        <v>14</v>
      </c>
      <c r="J102" s="243"/>
      <c r="K102" s="247">
        <f t="shared" si="10"/>
        <v>0</v>
      </c>
      <c r="L102" s="205">
        <f t="shared" si="11"/>
        <v>0</v>
      </c>
      <c r="M102" s="206" t="str">
        <f t="shared" si="7"/>
        <v/>
      </c>
      <c r="N102" s="208"/>
      <c r="O102" s="208"/>
      <c r="P102" s="209"/>
    </row>
    <row r="103" spans="1:16" ht="47.25">
      <c r="A103" s="310">
        <f t="shared" si="12"/>
        <v>19</v>
      </c>
      <c r="B103" s="302" t="s">
        <v>758</v>
      </c>
      <c r="C103" s="331" t="s">
        <v>875</v>
      </c>
      <c r="D103" s="245"/>
      <c r="E103" s="210">
        <v>0.18</v>
      </c>
      <c r="F103" s="246"/>
      <c r="G103" s="314" t="s">
        <v>876</v>
      </c>
      <c r="H103" s="295" t="s">
        <v>284</v>
      </c>
      <c r="I103" s="311">
        <v>710</v>
      </c>
      <c r="J103" s="243"/>
      <c r="K103" s="247">
        <f t="shared" si="10"/>
        <v>0</v>
      </c>
      <c r="L103" s="205">
        <f t="shared" si="11"/>
        <v>0</v>
      </c>
      <c r="M103" s="206" t="str">
        <f t="shared" si="7"/>
        <v/>
      </c>
      <c r="N103" s="208"/>
      <c r="O103" s="208"/>
      <c r="P103" s="209"/>
    </row>
    <row r="104" spans="1:16" ht="47.25">
      <c r="A104" s="310">
        <f t="shared" si="12"/>
        <v>20</v>
      </c>
      <c r="B104" s="302" t="s">
        <v>761</v>
      </c>
      <c r="C104" s="331" t="s">
        <v>877</v>
      </c>
      <c r="D104" s="245"/>
      <c r="E104" s="210">
        <v>0.18</v>
      </c>
      <c r="F104" s="246"/>
      <c r="G104" s="314" t="s">
        <v>878</v>
      </c>
      <c r="H104" s="295" t="s">
        <v>359</v>
      </c>
      <c r="I104" s="311">
        <v>300</v>
      </c>
      <c r="J104" s="243"/>
      <c r="K104" s="247">
        <f t="shared" si="10"/>
        <v>0</v>
      </c>
      <c r="L104" s="205">
        <f t="shared" si="11"/>
        <v>0</v>
      </c>
      <c r="M104" s="206" t="str">
        <f t="shared" si="7"/>
        <v/>
      </c>
      <c r="N104" s="208"/>
      <c r="O104" s="208"/>
      <c r="P104" s="209"/>
    </row>
    <row r="105" spans="1:16" ht="75">
      <c r="A105" s="310">
        <f t="shared" si="12"/>
        <v>21</v>
      </c>
      <c r="B105" s="302" t="s">
        <v>764</v>
      </c>
      <c r="C105" s="331" t="s">
        <v>879</v>
      </c>
      <c r="D105" s="245"/>
      <c r="E105" s="210">
        <v>0.18</v>
      </c>
      <c r="F105" s="246"/>
      <c r="G105" s="314" t="s">
        <v>880</v>
      </c>
      <c r="H105" s="295" t="s">
        <v>359</v>
      </c>
      <c r="I105" s="311">
        <v>9</v>
      </c>
      <c r="J105" s="243"/>
      <c r="K105" s="247">
        <f t="shared" si="10"/>
        <v>0</v>
      </c>
      <c r="L105" s="205">
        <f t="shared" si="11"/>
        <v>0</v>
      </c>
      <c r="M105" s="206" t="str">
        <f t="shared" si="7"/>
        <v/>
      </c>
      <c r="N105" s="208"/>
      <c r="O105" s="208"/>
      <c r="P105" s="209"/>
    </row>
    <row r="106" spans="1:16" ht="31.5">
      <c r="A106" s="310">
        <f t="shared" si="12"/>
        <v>22</v>
      </c>
      <c r="B106" s="302" t="s">
        <v>767</v>
      </c>
      <c r="C106" s="331" t="s">
        <v>881</v>
      </c>
      <c r="D106" s="245"/>
      <c r="E106" s="210">
        <v>0.18</v>
      </c>
      <c r="F106" s="246"/>
      <c r="G106" s="314" t="s">
        <v>882</v>
      </c>
      <c r="H106" s="295" t="s">
        <v>284</v>
      </c>
      <c r="I106" s="311">
        <v>1</v>
      </c>
      <c r="J106" s="243"/>
      <c r="K106" s="247">
        <f t="shared" si="10"/>
        <v>0</v>
      </c>
      <c r="L106" s="205">
        <f t="shared" si="11"/>
        <v>0</v>
      </c>
      <c r="M106" s="206" t="str">
        <f t="shared" si="7"/>
        <v/>
      </c>
      <c r="N106" s="208"/>
      <c r="O106" s="208"/>
      <c r="P106" s="209"/>
    </row>
    <row r="107" spans="1:16" ht="16.5">
      <c r="A107" s="224"/>
      <c r="B107" s="225"/>
      <c r="C107" s="226"/>
      <c r="D107" s="226"/>
      <c r="E107" s="227"/>
      <c r="F107" s="228"/>
      <c r="G107" s="313" t="s">
        <v>883</v>
      </c>
      <c r="H107" s="229"/>
      <c r="I107" s="230"/>
      <c r="J107" s="231"/>
      <c r="K107" s="250">
        <f>SUM(K85:K106)</f>
        <v>0</v>
      </c>
      <c r="L107" s="250">
        <f>SUM(L85:L106)</f>
        <v>0</v>
      </c>
      <c r="M107" s="206"/>
      <c r="N107" s="208"/>
      <c r="O107" s="208"/>
      <c r="P107" s="209"/>
    </row>
    <row r="108" spans="1:16" ht="16.5">
      <c r="A108" s="251" t="s">
        <v>837</v>
      </c>
      <c r="B108" s="252"/>
      <c r="C108" s="253"/>
      <c r="D108" s="253"/>
      <c r="E108" s="253"/>
      <c r="F108" s="254"/>
      <c r="G108" s="315" t="s">
        <v>884</v>
      </c>
      <c r="H108" s="255"/>
      <c r="I108" s="256"/>
      <c r="J108" s="243"/>
      <c r="K108" s="247"/>
      <c r="L108" s="205"/>
      <c r="M108" s="206"/>
      <c r="N108" s="208"/>
      <c r="O108" s="208"/>
      <c r="P108" s="209"/>
    </row>
    <row r="109" spans="1:16" ht="63">
      <c r="A109" s="310">
        <v>1</v>
      </c>
      <c r="B109" s="355" t="s">
        <v>703</v>
      </c>
      <c r="C109" s="356" t="s">
        <v>885</v>
      </c>
      <c r="D109" s="245"/>
      <c r="E109" s="210">
        <v>0.18</v>
      </c>
      <c r="F109" s="246"/>
      <c r="G109" s="357" t="s">
        <v>886</v>
      </c>
      <c r="H109" s="358" t="s">
        <v>359</v>
      </c>
      <c r="I109" s="311">
        <v>17</v>
      </c>
      <c r="J109" s="243"/>
      <c r="K109" s="247">
        <f t="shared" ref="K109:K138" si="13">ROUND(J109*I109,2)</f>
        <v>0</v>
      </c>
      <c r="L109" s="205">
        <f t="shared" ref="L109:L138" si="14">ROUND(K109*E109,2)</f>
        <v>0</v>
      </c>
      <c r="M109" s="206" t="str">
        <f t="shared" si="7"/>
        <v/>
      </c>
      <c r="N109" s="208"/>
      <c r="O109" s="208"/>
      <c r="P109" s="209"/>
    </row>
    <row r="110" spans="1:16" ht="47.25">
      <c r="A110" s="310">
        <v>2</v>
      </c>
      <c r="B110" s="355" t="s">
        <v>706</v>
      </c>
      <c r="C110" s="356" t="s">
        <v>887</v>
      </c>
      <c r="D110" s="245"/>
      <c r="E110" s="210">
        <v>0.18</v>
      </c>
      <c r="F110" s="246"/>
      <c r="G110" s="357" t="s">
        <v>842</v>
      </c>
      <c r="H110" s="358" t="s">
        <v>359</v>
      </c>
      <c r="I110" s="311">
        <v>18</v>
      </c>
      <c r="J110" s="243"/>
      <c r="K110" s="247">
        <f t="shared" si="13"/>
        <v>0</v>
      </c>
      <c r="L110" s="205">
        <f t="shared" si="14"/>
        <v>0</v>
      </c>
      <c r="M110" s="206" t="str">
        <f t="shared" si="7"/>
        <v/>
      </c>
      <c r="N110" s="208"/>
      <c r="O110" s="208"/>
      <c r="P110" s="209"/>
    </row>
    <row r="111" spans="1:16" ht="63">
      <c r="A111" s="310">
        <v>3</v>
      </c>
      <c r="B111" s="355" t="s">
        <v>709</v>
      </c>
      <c r="C111" s="356" t="s">
        <v>888</v>
      </c>
      <c r="D111" s="245"/>
      <c r="E111" s="210">
        <v>0.18</v>
      </c>
      <c r="F111" s="246"/>
      <c r="G111" s="357" t="s">
        <v>889</v>
      </c>
      <c r="H111" s="358" t="s">
        <v>359</v>
      </c>
      <c r="I111" s="311">
        <v>21</v>
      </c>
      <c r="J111" s="243"/>
      <c r="K111" s="247">
        <f t="shared" si="13"/>
        <v>0</v>
      </c>
      <c r="L111" s="205">
        <f t="shared" si="14"/>
        <v>0</v>
      </c>
      <c r="M111" s="206" t="str">
        <f t="shared" si="7"/>
        <v/>
      </c>
      <c r="N111" s="208"/>
      <c r="O111" s="208"/>
      <c r="P111" s="209"/>
    </row>
    <row r="112" spans="1:16" ht="63">
      <c r="A112" s="310">
        <v>4</v>
      </c>
      <c r="B112" s="355" t="s">
        <v>712</v>
      </c>
      <c r="C112" s="356" t="s">
        <v>890</v>
      </c>
      <c r="D112" s="245"/>
      <c r="E112" s="210">
        <v>0.18</v>
      </c>
      <c r="F112" s="246"/>
      <c r="G112" s="357" t="s">
        <v>846</v>
      </c>
      <c r="H112" s="358" t="s">
        <v>359</v>
      </c>
      <c r="I112" s="311">
        <v>116</v>
      </c>
      <c r="J112" s="243"/>
      <c r="K112" s="247">
        <f t="shared" si="13"/>
        <v>0</v>
      </c>
      <c r="L112" s="205">
        <f t="shared" si="14"/>
        <v>0</v>
      </c>
      <c r="M112" s="206" t="str">
        <f t="shared" si="7"/>
        <v/>
      </c>
      <c r="N112" s="208"/>
      <c r="O112" s="208"/>
      <c r="P112" s="209"/>
    </row>
    <row r="113" spans="1:16" ht="47.25">
      <c r="A113" s="310">
        <v>5</v>
      </c>
      <c r="B113" s="355" t="s">
        <v>715</v>
      </c>
      <c r="C113" s="356" t="s">
        <v>847</v>
      </c>
      <c r="D113" s="245"/>
      <c r="E113" s="210">
        <v>0.18</v>
      </c>
      <c r="F113" s="246"/>
      <c r="G113" s="357" t="s">
        <v>848</v>
      </c>
      <c r="H113" s="358" t="s">
        <v>359</v>
      </c>
      <c r="I113" s="311">
        <v>16</v>
      </c>
      <c r="J113" s="243"/>
      <c r="K113" s="247">
        <f t="shared" si="13"/>
        <v>0</v>
      </c>
      <c r="L113" s="205">
        <f t="shared" si="14"/>
        <v>0</v>
      </c>
      <c r="M113" s="206" t="str">
        <f t="shared" si="7"/>
        <v/>
      </c>
      <c r="N113" s="208"/>
      <c r="O113" s="208"/>
      <c r="P113" s="209"/>
    </row>
    <row r="114" spans="1:16" ht="31.5">
      <c r="A114" s="310">
        <v>6</v>
      </c>
      <c r="B114" s="355" t="s">
        <v>718</v>
      </c>
      <c r="C114" s="356" t="s">
        <v>891</v>
      </c>
      <c r="D114" s="245"/>
      <c r="E114" s="210">
        <v>0.18</v>
      </c>
      <c r="F114" s="246"/>
      <c r="G114" s="357" t="s">
        <v>850</v>
      </c>
      <c r="H114" s="358" t="s">
        <v>284</v>
      </c>
      <c r="I114" s="311">
        <v>215</v>
      </c>
      <c r="J114" s="243"/>
      <c r="K114" s="247">
        <f t="shared" si="13"/>
        <v>0</v>
      </c>
      <c r="L114" s="205">
        <f t="shared" si="14"/>
        <v>0</v>
      </c>
      <c r="M114" s="206" t="str">
        <f t="shared" si="7"/>
        <v/>
      </c>
      <c r="N114" s="208"/>
      <c r="O114" s="208"/>
      <c r="P114" s="209"/>
    </row>
    <row r="115" spans="1:16" ht="47.25">
      <c r="A115" s="310">
        <v>7</v>
      </c>
      <c r="B115" s="355" t="s">
        <v>721</v>
      </c>
      <c r="C115" s="356" t="s">
        <v>892</v>
      </c>
      <c r="D115" s="245"/>
      <c r="E115" s="210">
        <v>0.18</v>
      </c>
      <c r="F115" s="246"/>
      <c r="G115" s="357" t="s">
        <v>893</v>
      </c>
      <c r="H115" s="358" t="s">
        <v>359</v>
      </c>
      <c r="I115" s="311">
        <v>5</v>
      </c>
      <c r="J115" s="243"/>
      <c r="K115" s="247">
        <f t="shared" si="13"/>
        <v>0</v>
      </c>
      <c r="L115" s="205">
        <f t="shared" si="14"/>
        <v>0</v>
      </c>
      <c r="M115" s="206" t="str">
        <f t="shared" si="7"/>
        <v/>
      </c>
      <c r="N115" s="208"/>
      <c r="O115" s="208"/>
      <c r="P115" s="209"/>
    </row>
    <row r="116" spans="1:16" ht="47.25">
      <c r="A116" s="310">
        <v>8</v>
      </c>
      <c r="B116" s="355" t="s">
        <v>724</v>
      </c>
      <c r="C116" s="356" t="s">
        <v>894</v>
      </c>
      <c r="D116" s="245"/>
      <c r="E116" s="210">
        <v>0.18</v>
      </c>
      <c r="F116" s="246"/>
      <c r="G116" s="357" t="s">
        <v>895</v>
      </c>
      <c r="H116" s="358" t="s">
        <v>359</v>
      </c>
      <c r="I116" s="311">
        <v>13</v>
      </c>
      <c r="J116" s="243"/>
      <c r="K116" s="247">
        <f t="shared" si="13"/>
        <v>0</v>
      </c>
      <c r="L116" s="205">
        <f t="shared" si="14"/>
        <v>0</v>
      </c>
      <c r="M116" s="206" t="str">
        <f t="shared" si="7"/>
        <v/>
      </c>
      <c r="N116" s="208"/>
      <c r="O116" s="208"/>
      <c r="P116" s="209"/>
    </row>
    <row r="117" spans="1:16" ht="47.25">
      <c r="A117" s="310">
        <v>9</v>
      </c>
      <c r="B117" s="355" t="s">
        <v>727</v>
      </c>
      <c r="C117" s="356" t="s">
        <v>896</v>
      </c>
      <c r="D117" s="245"/>
      <c r="E117" s="210">
        <v>0.18</v>
      </c>
      <c r="F117" s="246"/>
      <c r="G117" s="357" t="s">
        <v>856</v>
      </c>
      <c r="H117" s="358" t="s">
        <v>359</v>
      </c>
      <c r="I117" s="311">
        <v>9</v>
      </c>
      <c r="J117" s="243"/>
      <c r="K117" s="247">
        <f t="shared" si="13"/>
        <v>0</v>
      </c>
      <c r="L117" s="205">
        <f t="shared" si="14"/>
        <v>0</v>
      </c>
      <c r="M117" s="206" t="str">
        <f t="shared" si="7"/>
        <v/>
      </c>
      <c r="N117" s="208"/>
      <c r="O117" s="208"/>
      <c r="P117" s="209"/>
    </row>
    <row r="118" spans="1:16" ht="47.25">
      <c r="A118" s="310">
        <v>10</v>
      </c>
      <c r="B118" s="355" t="s">
        <v>731</v>
      </c>
      <c r="C118" s="356" t="s">
        <v>855</v>
      </c>
      <c r="D118" s="245"/>
      <c r="E118" s="210">
        <v>0.18</v>
      </c>
      <c r="F118" s="246"/>
      <c r="G118" s="357" t="s">
        <v>897</v>
      </c>
      <c r="H118" s="358" t="s">
        <v>359</v>
      </c>
      <c r="I118" s="311">
        <v>1</v>
      </c>
      <c r="J118" s="243"/>
      <c r="K118" s="247">
        <f t="shared" si="13"/>
        <v>0</v>
      </c>
      <c r="L118" s="205">
        <f t="shared" si="14"/>
        <v>0</v>
      </c>
      <c r="M118" s="206" t="str">
        <f t="shared" si="7"/>
        <v/>
      </c>
      <c r="N118" s="208"/>
      <c r="O118" s="208"/>
      <c r="P118" s="209"/>
    </row>
    <row r="119" spans="1:16" ht="63">
      <c r="A119" s="310">
        <v>11</v>
      </c>
      <c r="B119" s="355" t="s">
        <v>734</v>
      </c>
      <c r="C119" s="356" t="s">
        <v>898</v>
      </c>
      <c r="D119" s="245"/>
      <c r="E119" s="210">
        <v>0.18</v>
      </c>
      <c r="F119" s="246"/>
      <c r="G119" s="357" t="s">
        <v>899</v>
      </c>
      <c r="H119" s="358" t="s">
        <v>359</v>
      </c>
      <c r="I119" s="311">
        <v>9</v>
      </c>
      <c r="J119" s="243"/>
      <c r="K119" s="247">
        <f t="shared" si="13"/>
        <v>0</v>
      </c>
      <c r="L119" s="205">
        <f t="shared" si="14"/>
        <v>0</v>
      </c>
      <c r="M119" s="206" t="str">
        <f t="shared" si="7"/>
        <v/>
      </c>
      <c r="N119" s="208"/>
      <c r="O119" s="208"/>
      <c r="P119" s="209"/>
    </row>
    <row r="120" spans="1:16" ht="63">
      <c r="A120" s="310">
        <v>12</v>
      </c>
      <c r="B120" s="355" t="s">
        <v>737</v>
      </c>
      <c r="C120" s="356" t="s">
        <v>900</v>
      </c>
      <c r="D120" s="245"/>
      <c r="E120" s="210">
        <v>0.18</v>
      </c>
      <c r="F120" s="246"/>
      <c r="G120" s="345" t="s">
        <v>901</v>
      </c>
      <c r="H120" s="348" t="s">
        <v>284</v>
      </c>
      <c r="I120" s="311">
        <v>84</v>
      </c>
      <c r="J120" s="243"/>
      <c r="K120" s="247">
        <f t="shared" si="13"/>
        <v>0</v>
      </c>
      <c r="L120" s="205">
        <f t="shared" si="14"/>
        <v>0</v>
      </c>
      <c r="M120" s="206" t="str">
        <f t="shared" si="7"/>
        <v/>
      </c>
      <c r="N120" s="208"/>
      <c r="O120" s="208"/>
      <c r="P120" s="209"/>
    </row>
    <row r="121" spans="1:16" ht="78.75">
      <c r="A121" s="310">
        <v>13</v>
      </c>
      <c r="B121" s="355" t="s">
        <v>740</v>
      </c>
      <c r="C121" s="356" t="s">
        <v>902</v>
      </c>
      <c r="D121" s="245"/>
      <c r="E121" s="210">
        <v>0.18</v>
      </c>
      <c r="F121" s="246"/>
      <c r="G121" s="357" t="s">
        <v>903</v>
      </c>
      <c r="H121" s="358" t="s">
        <v>359</v>
      </c>
      <c r="I121" s="311">
        <v>1</v>
      </c>
      <c r="J121" s="243"/>
      <c r="K121" s="247">
        <f t="shared" si="13"/>
        <v>0</v>
      </c>
      <c r="L121" s="205">
        <f t="shared" si="14"/>
        <v>0</v>
      </c>
      <c r="M121" s="206" t="str">
        <f t="shared" si="7"/>
        <v/>
      </c>
      <c r="N121" s="208"/>
      <c r="O121" s="208"/>
      <c r="P121" s="209"/>
    </row>
    <row r="122" spans="1:16" ht="31.5">
      <c r="A122" s="310">
        <v>14</v>
      </c>
      <c r="B122" s="355" t="s">
        <v>743</v>
      </c>
      <c r="C122" s="356" t="s">
        <v>904</v>
      </c>
      <c r="D122" s="245"/>
      <c r="E122" s="210">
        <v>0.18</v>
      </c>
      <c r="F122" s="246"/>
      <c r="G122" s="359" t="s">
        <v>905</v>
      </c>
      <c r="H122" s="347" t="s">
        <v>359</v>
      </c>
      <c r="I122" s="311">
        <v>1</v>
      </c>
      <c r="J122" s="243"/>
      <c r="K122" s="247">
        <f t="shared" si="13"/>
        <v>0</v>
      </c>
      <c r="L122" s="205">
        <f t="shared" si="14"/>
        <v>0</v>
      </c>
      <c r="M122" s="206" t="str">
        <f t="shared" si="7"/>
        <v/>
      </c>
      <c r="N122" s="208"/>
      <c r="O122" s="208"/>
      <c r="P122" s="209"/>
    </row>
    <row r="123" spans="1:16" ht="78.75">
      <c r="A123" s="310">
        <v>15</v>
      </c>
      <c r="B123" s="355" t="s">
        <v>746</v>
      </c>
      <c r="C123" s="356" t="s">
        <v>906</v>
      </c>
      <c r="D123" s="245"/>
      <c r="E123" s="210">
        <v>0.18</v>
      </c>
      <c r="F123" s="246"/>
      <c r="G123" s="357" t="s">
        <v>907</v>
      </c>
      <c r="H123" s="358" t="s">
        <v>359</v>
      </c>
      <c r="I123" s="311">
        <v>1</v>
      </c>
      <c r="J123" s="243"/>
      <c r="K123" s="247">
        <f t="shared" si="13"/>
        <v>0</v>
      </c>
      <c r="L123" s="205">
        <f t="shared" si="14"/>
        <v>0</v>
      </c>
      <c r="M123" s="206" t="str">
        <f t="shared" si="7"/>
        <v/>
      </c>
      <c r="N123" s="208"/>
      <c r="O123" s="208"/>
      <c r="P123" s="209"/>
    </row>
    <row r="124" spans="1:16" ht="47.25">
      <c r="A124" s="310">
        <v>16</v>
      </c>
      <c r="B124" s="355" t="s">
        <v>749</v>
      </c>
      <c r="C124" s="356" t="s">
        <v>908</v>
      </c>
      <c r="D124" s="245"/>
      <c r="E124" s="210">
        <v>0.18</v>
      </c>
      <c r="F124" s="246"/>
      <c r="G124" s="357" t="s">
        <v>909</v>
      </c>
      <c r="H124" s="358" t="s">
        <v>359</v>
      </c>
      <c r="I124" s="311">
        <v>14</v>
      </c>
      <c r="J124" s="243"/>
      <c r="K124" s="247">
        <f t="shared" si="13"/>
        <v>0</v>
      </c>
      <c r="L124" s="205">
        <f t="shared" si="14"/>
        <v>0</v>
      </c>
      <c r="M124" s="206" t="str">
        <f t="shared" si="7"/>
        <v/>
      </c>
      <c r="N124" s="208"/>
      <c r="O124" s="208"/>
      <c r="P124" s="209"/>
    </row>
    <row r="125" spans="1:16" ht="63">
      <c r="A125" s="310">
        <v>17</v>
      </c>
      <c r="B125" s="355" t="s">
        <v>752</v>
      </c>
      <c r="C125" s="356" t="s">
        <v>910</v>
      </c>
      <c r="D125" s="245"/>
      <c r="E125" s="210">
        <v>0.18</v>
      </c>
      <c r="F125" s="246"/>
      <c r="G125" s="357" t="s">
        <v>911</v>
      </c>
      <c r="H125" s="358" t="s">
        <v>359</v>
      </c>
      <c r="I125" s="311">
        <v>1</v>
      </c>
      <c r="J125" s="243"/>
      <c r="K125" s="247">
        <f t="shared" si="13"/>
        <v>0</v>
      </c>
      <c r="L125" s="205">
        <f t="shared" si="14"/>
        <v>0</v>
      </c>
      <c r="M125" s="206" t="str">
        <f t="shared" si="7"/>
        <v/>
      </c>
      <c r="N125" s="208"/>
      <c r="O125" s="208"/>
      <c r="P125" s="209"/>
    </row>
    <row r="126" spans="1:16" ht="47.25">
      <c r="A126" s="310">
        <v>18</v>
      </c>
      <c r="B126" s="355" t="s">
        <v>755</v>
      </c>
      <c r="C126" s="356" t="s">
        <v>912</v>
      </c>
      <c r="D126" s="245"/>
      <c r="E126" s="210">
        <v>0.18</v>
      </c>
      <c r="F126" s="246"/>
      <c r="G126" s="357" t="s">
        <v>913</v>
      </c>
      <c r="H126" s="358" t="s">
        <v>359</v>
      </c>
      <c r="I126" s="311">
        <v>1</v>
      </c>
      <c r="J126" s="243"/>
      <c r="K126" s="247">
        <f t="shared" si="13"/>
        <v>0</v>
      </c>
      <c r="L126" s="205">
        <f t="shared" si="14"/>
        <v>0</v>
      </c>
      <c r="M126" s="206" t="str">
        <f t="shared" si="7"/>
        <v/>
      </c>
      <c r="N126" s="208"/>
      <c r="O126" s="208"/>
      <c r="P126" s="209"/>
    </row>
    <row r="127" spans="1:16" ht="47.25">
      <c r="A127" s="310">
        <v>19</v>
      </c>
      <c r="B127" s="355" t="s">
        <v>758</v>
      </c>
      <c r="C127" s="356" t="s">
        <v>914</v>
      </c>
      <c r="D127" s="245"/>
      <c r="E127" s="210">
        <v>0.18</v>
      </c>
      <c r="F127" s="246"/>
      <c r="G127" s="357" t="s">
        <v>915</v>
      </c>
      <c r="H127" s="358" t="s">
        <v>284</v>
      </c>
      <c r="I127" s="311">
        <v>126</v>
      </c>
      <c r="J127" s="243"/>
      <c r="K127" s="247">
        <f t="shared" si="13"/>
        <v>0</v>
      </c>
      <c r="L127" s="205">
        <f t="shared" si="14"/>
        <v>0</v>
      </c>
      <c r="M127" s="206" t="str">
        <f t="shared" si="7"/>
        <v/>
      </c>
      <c r="N127" s="208"/>
      <c r="O127" s="208"/>
      <c r="P127" s="209"/>
    </row>
    <row r="128" spans="1:16" ht="47.25">
      <c r="A128" s="310">
        <v>20</v>
      </c>
      <c r="B128" s="355" t="s">
        <v>761</v>
      </c>
      <c r="C128" s="356" t="s">
        <v>916</v>
      </c>
      <c r="D128" s="245"/>
      <c r="E128" s="210">
        <v>0.18</v>
      </c>
      <c r="F128" s="246"/>
      <c r="G128" s="345" t="s">
        <v>917</v>
      </c>
      <c r="H128" s="347" t="s">
        <v>359</v>
      </c>
      <c r="I128" s="311">
        <v>12</v>
      </c>
      <c r="J128" s="243"/>
      <c r="K128" s="247">
        <f t="shared" si="13"/>
        <v>0</v>
      </c>
      <c r="L128" s="205">
        <f t="shared" si="14"/>
        <v>0</v>
      </c>
      <c r="M128" s="206" t="str">
        <f t="shared" si="7"/>
        <v/>
      </c>
      <c r="N128" s="208"/>
      <c r="O128" s="208"/>
      <c r="P128" s="209"/>
    </row>
    <row r="129" spans="1:16" ht="63">
      <c r="A129" s="310">
        <v>21</v>
      </c>
      <c r="B129" s="355" t="s">
        <v>764</v>
      </c>
      <c r="C129" s="356" t="s">
        <v>918</v>
      </c>
      <c r="D129" s="245"/>
      <c r="E129" s="210">
        <v>0.18</v>
      </c>
      <c r="F129" s="246"/>
      <c r="G129" s="357" t="s">
        <v>862</v>
      </c>
      <c r="H129" s="358" t="s">
        <v>359</v>
      </c>
      <c r="I129" s="311">
        <v>2</v>
      </c>
      <c r="J129" s="243"/>
      <c r="K129" s="247">
        <f t="shared" si="13"/>
        <v>0</v>
      </c>
      <c r="L129" s="205">
        <f t="shared" si="14"/>
        <v>0</v>
      </c>
      <c r="M129" s="206" t="str">
        <f t="shared" si="7"/>
        <v/>
      </c>
      <c r="N129" s="208"/>
      <c r="O129" s="208"/>
      <c r="P129" s="209"/>
    </row>
    <row r="130" spans="1:16" ht="47.25">
      <c r="A130" s="310">
        <v>22</v>
      </c>
      <c r="B130" s="355" t="s">
        <v>767</v>
      </c>
      <c r="C130" s="356" t="s">
        <v>919</v>
      </c>
      <c r="D130" s="245"/>
      <c r="E130" s="210">
        <v>0.18</v>
      </c>
      <c r="F130" s="246"/>
      <c r="G130" s="345" t="s">
        <v>920</v>
      </c>
      <c r="H130" s="348" t="s">
        <v>284</v>
      </c>
      <c r="I130" s="311">
        <v>100</v>
      </c>
      <c r="J130" s="243"/>
      <c r="K130" s="247">
        <f t="shared" si="13"/>
        <v>0</v>
      </c>
      <c r="L130" s="205">
        <f t="shared" si="14"/>
        <v>0</v>
      </c>
      <c r="M130" s="206" t="str">
        <f t="shared" si="7"/>
        <v/>
      </c>
      <c r="N130" s="208"/>
      <c r="O130" s="208"/>
      <c r="P130" s="209"/>
    </row>
    <row r="131" spans="1:16" ht="63">
      <c r="A131" s="310">
        <v>23</v>
      </c>
      <c r="B131" s="355" t="s">
        <v>771</v>
      </c>
      <c r="C131" s="356" t="s">
        <v>871</v>
      </c>
      <c r="D131" s="245"/>
      <c r="E131" s="210">
        <v>0.18</v>
      </c>
      <c r="F131" s="246"/>
      <c r="G131" s="357" t="s">
        <v>872</v>
      </c>
      <c r="H131" s="358" t="s">
        <v>359</v>
      </c>
      <c r="I131" s="311">
        <v>1</v>
      </c>
      <c r="J131" s="243"/>
      <c r="K131" s="247">
        <f t="shared" si="13"/>
        <v>0</v>
      </c>
      <c r="L131" s="205">
        <f t="shared" si="14"/>
        <v>0</v>
      </c>
      <c r="M131" s="206" t="str">
        <f t="shared" si="7"/>
        <v/>
      </c>
      <c r="N131" s="208"/>
      <c r="O131" s="208"/>
      <c r="P131" s="209"/>
    </row>
    <row r="132" spans="1:16" ht="63">
      <c r="A132" s="310">
        <v>24</v>
      </c>
      <c r="B132" s="355" t="s">
        <v>774</v>
      </c>
      <c r="C132" s="356" t="s">
        <v>921</v>
      </c>
      <c r="D132" s="245"/>
      <c r="E132" s="210">
        <v>0.18</v>
      </c>
      <c r="F132" s="246"/>
      <c r="G132" s="360" t="s">
        <v>922</v>
      </c>
      <c r="H132" s="347" t="s">
        <v>359</v>
      </c>
      <c r="I132" s="311">
        <v>4</v>
      </c>
      <c r="J132" s="243"/>
      <c r="K132" s="247">
        <f t="shared" si="13"/>
        <v>0</v>
      </c>
      <c r="L132" s="205">
        <f t="shared" si="14"/>
        <v>0</v>
      </c>
      <c r="M132" s="206" t="str">
        <f t="shared" si="7"/>
        <v/>
      </c>
      <c r="N132" s="208"/>
      <c r="O132" s="208"/>
      <c r="P132" s="209"/>
    </row>
    <row r="133" spans="1:16" ht="47.25">
      <c r="A133" s="310">
        <v>25</v>
      </c>
      <c r="B133" s="355" t="s">
        <v>777</v>
      </c>
      <c r="C133" s="356" t="s">
        <v>923</v>
      </c>
      <c r="D133" s="245"/>
      <c r="E133" s="210">
        <v>0.18</v>
      </c>
      <c r="F133" s="246"/>
      <c r="G133" s="360" t="s">
        <v>876</v>
      </c>
      <c r="H133" s="348" t="s">
        <v>284</v>
      </c>
      <c r="I133" s="311">
        <v>315</v>
      </c>
      <c r="J133" s="243"/>
      <c r="K133" s="247">
        <f t="shared" si="13"/>
        <v>0</v>
      </c>
      <c r="L133" s="205">
        <f t="shared" si="14"/>
        <v>0</v>
      </c>
      <c r="M133" s="206" t="str">
        <f t="shared" si="7"/>
        <v/>
      </c>
      <c r="N133" s="208"/>
      <c r="O133" s="208"/>
      <c r="P133" s="209"/>
    </row>
    <row r="134" spans="1:16" ht="47.25">
      <c r="A134" s="310">
        <v>26</v>
      </c>
      <c r="B134" s="355" t="s">
        <v>780</v>
      </c>
      <c r="C134" s="356" t="s">
        <v>924</v>
      </c>
      <c r="D134" s="245"/>
      <c r="E134" s="210">
        <v>0.18</v>
      </c>
      <c r="F134" s="246"/>
      <c r="G134" s="360" t="s">
        <v>878</v>
      </c>
      <c r="H134" s="348" t="s">
        <v>284</v>
      </c>
      <c r="I134" s="311">
        <v>106</v>
      </c>
      <c r="J134" s="243"/>
      <c r="K134" s="247">
        <f t="shared" si="13"/>
        <v>0</v>
      </c>
      <c r="L134" s="205">
        <f t="shared" si="14"/>
        <v>0</v>
      </c>
      <c r="M134" s="206" t="str">
        <f t="shared" si="7"/>
        <v/>
      </c>
      <c r="N134" s="208"/>
      <c r="O134" s="208"/>
      <c r="P134" s="209"/>
    </row>
    <row r="135" spans="1:16" ht="78.75">
      <c r="A135" s="310">
        <v>27</v>
      </c>
      <c r="B135" s="355" t="s">
        <v>783</v>
      </c>
      <c r="C135" s="356" t="s">
        <v>925</v>
      </c>
      <c r="D135" s="245"/>
      <c r="E135" s="210">
        <v>0.18</v>
      </c>
      <c r="F135" s="246"/>
      <c r="G135" s="357" t="s">
        <v>926</v>
      </c>
      <c r="H135" s="358" t="s">
        <v>927</v>
      </c>
      <c r="I135" s="311">
        <v>1</v>
      </c>
      <c r="J135" s="243"/>
      <c r="K135" s="247">
        <f t="shared" si="13"/>
        <v>0</v>
      </c>
      <c r="L135" s="205">
        <f t="shared" si="14"/>
        <v>0</v>
      </c>
      <c r="M135" s="206" t="str">
        <f t="shared" si="7"/>
        <v/>
      </c>
      <c r="N135" s="208"/>
      <c r="O135" s="208"/>
      <c r="P135" s="209"/>
    </row>
    <row r="136" spans="1:16" ht="78.75">
      <c r="A136" s="310">
        <v>28</v>
      </c>
      <c r="B136" s="355" t="s">
        <v>786</v>
      </c>
      <c r="C136" s="356" t="s">
        <v>928</v>
      </c>
      <c r="D136" s="245"/>
      <c r="E136" s="210">
        <v>0.18</v>
      </c>
      <c r="F136" s="246"/>
      <c r="G136" s="357" t="s">
        <v>929</v>
      </c>
      <c r="H136" s="358" t="s">
        <v>927</v>
      </c>
      <c r="I136" s="311">
        <v>8</v>
      </c>
      <c r="J136" s="243"/>
      <c r="K136" s="247">
        <f t="shared" si="13"/>
        <v>0</v>
      </c>
      <c r="L136" s="205">
        <f t="shared" si="14"/>
        <v>0</v>
      </c>
      <c r="M136" s="206" t="str">
        <f t="shared" si="7"/>
        <v/>
      </c>
      <c r="N136" s="208"/>
      <c r="O136" s="208"/>
      <c r="P136" s="209"/>
    </row>
    <row r="137" spans="1:16" ht="47.25">
      <c r="A137" s="310">
        <v>29</v>
      </c>
      <c r="B137" s="355" t="s">
        <v>789</v>
      </c>
      <c r="C137" s="356" t="s">
        <v>930</v>
      </c>
      <c r="D137" s="245"/>
      <c r="E137" s="210">
        <v>0.18</v>
      </c>
      <c r="F137" s="246"/>
      <c r="G137" s="357" t="s">
        <v>931</v>
      </c>
      <c r="H137" s="358" t="s">
        <v>359</v>
      </c>
      <c r="I137" s="311">
        <v>9</v>
      </c>
      <c r="J137" s="243"/>
      <c r="K137" s="247">
        <f t="shared" si="13"/>
        <v>0</v>
      </c>
      <c r="L137" s="205">
        <f t="shared" si="14"/>
        <v>0</v>
      </c>
      <c r="M137" s="206" t="str">
        <f t="shared" si="7"/>
        <v/>
      </c>
      <c r="N137" s="208"/>
      <c r="O137" s="208"/>
      <c r="P137" s="209"/>
    </row>
    <row r="138" spans="1:16" ht="47.25">
      <c r="A138" s="310">
        <v>30</v>
      </c>
      <c r="B138" s="355" t="s">
        <v>792</v>
      </c>
      <c r="C138" s="356" t="s">
        <v>932</v>
      </c>
      <c r="D138" s="245"/>
      <c r="E138" s="210">
        <v>0.18</v>
      </c>
      <c r="F138" s="246"/>
      <c r="G138" s="357" t="s">
        <v>933</v>
      </c>
      <c r="H138" s="358" t="s">
        <v>359</v>
      </c>
      <c r="I138" s="311">
        <v>9</v>
      </c>
      <c r="J138" s="243"/>
      <c r="K138" s="247">
        <f t="shared" si="13"/>
        <v>0</v>
      </c>
      <c r="L138" s="205">
        <f t="shared" si="14"/>
        <v>0</v>
      </c>
      <c r="M138" s="206" t="str">
        <f t="shared" si="7"/>
        <v/>
      </c>
      <c r="N138" s="208"/>
      <c r="O138" s="208"/>
      <c r="P138" s="209"/>
    </row>
    <row r="139" spans="1:16" ht="16.5">
      <c r="A139" s="224"/>
      <c r="B139" s="225"/>
      <c r="C139" s="226"/>
      <c r="D139" s="226"/>
      <c r="E139" s="227"/>
      <c r="F139" s="228"/>
      <c r="G139" s="313" t="s">
        <v>934</v>
      </c>
      <c r="H139" s="229"/>
      <c r="I139" s="230"/>
      <c r="J139" s="231"/>
      <c r="K139" s="250">
        <f>SUM(K109:K138)</f>
        <v>0</v>
      </c>
      <c r="L139" s="250">
        <f>SUM(L109:L138)</f>
        <v>0</v>
      </c>
      <c r="M139" s="232"/>
      <c r="N139" s="208"/>
      <c r="O139" s="208"/>
      <c r="P139" s="209"/>
    </row>
    <row r="140" spans="1:16" ht="73.5" customHeight="1">
      <c r="A140" s="234"/>
      <c r="B140" s="234"/>
      <c r="C140" s="234"/>
      <c r="D140" s="234"/>
      <c r="E140" s="234"/>
      <c r="F140" s="234"/>
      <c r="G140" s="424" t="s">
        <v>935</v>
      </c>
      <c r="H140" s="424"/>
      <c r="I140" s="424"/>
      <c r="J140" s="424"/>
      <c r="K140" s="269" t="str">
        <f>IF(P9=P8,"",(K139+K107+K82+K48))</f>
        <v/>
      </c>
      <c r="L140" s="269" t="str">
        <f>IF(P9=P8,"",(L139+L107+L82+L48))</f>
        <v/>
      </c>
      <c r="M140" s="235"/>
      <c r="N140" s="154" t="str">
        <f>IF(COUNTIF(N6:N107,"TRUE"),"False","Sheet OK")</f>
        <v>False</v>
      </c>
      <c r="O140" s="208"/>
      <c r="P140" s="208"/>
    </row>
    <row r="141" spans="1:16" ht="39" customHeight="1">
      <c r="A141" s="423" t="str">
        <f>IF(K140="","As all the line items are Left Blank the bid is considered as Non-responsive","Sheet OK")</f>
        <v>As all the line items are Left Blank the bid is considered as Non-responsive</v>
      </c>
      <c r="B141" s="423"/>
      <c r="C141" s="423"/>
      <c r="D141" s="423"/>
      <c r="E141" s="423"/>
      <c r="F141" s="423"/>
      <c r="G141" s="423"/>
      <c r="H141" s="423"/>
      <c r="I141" s="423"/>
      <c r="J141" s="423"/>
      <c r="K141" s="423"/>
      <c r="L141" s="423"/>
      <c r="M141" s="423"/>
      <c r="N141" s="208"/>
      <c r="O141" s="208"/>
      <c r="P141" s="208"/>
    </row>
    <row r="142" spans="1:16">
      <c r="K142" s="158">
        <v>0</v>
      </c>
    </row>
    <row r="143" spans="1:16">
      <c r="N143" s="159" t="str">
        <f>IF(COUNTIF(N140:N142,"TRUE"),"False","Sheet OK")</f>
        <v>Sheet OK</v>
      </c>
      <c r="O143" s="159"/>
    </row>
  </sheetData>
  <sheetProtection algorithmName="SHA-512" hashValue="nDNO28IwGX7u6VbMg+TPUsQfT9N4d8UUowIXYXKld4TceejXlmSxlbxxhnKVg5YMsT2Qhs9TDf0BSC7jhOEEQA==" saltValue="uL/F1b2e9bCkpqtbdganhA=="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3">
    <mergeCell ref="A141:M141"/>
    <mergeCell ref="A1:L1"/>
    <mergeCell ref="A4:C4"/>
    <mergeCell ref="D3:I3"/>
    <mergeCell ref="D5:I5"/>
    <mergeCell ref="E7:I7"/>
    <mergeCell ref="G140:J140"/>
    <mergeCell ref="J3:L3"/>
    <mergeCell ref="J4:L4"/>
    <mergeCell ref="D4:I4"/>
    <mergeCell ref="D6:I6"/>
    <mergeCell ref="J5:L5"/>
    <mergeCell ref="A2:L2"/>
  </mergeCells>
  <phoneticPr fontId="63" type="noConversion"/>
  <conditionalFormatting sqref="A141:M141">
    <cfRule type="containsText" dxfId="5" priority="13" stopIfTrue="1" operator="containsText" text="sheet">
      <formula>NOT(ISERROR(SEARCH("sheet",A141)))</formula>
    </cfRule>
    <cfRule type="containsText" dxfId="4" priority="14" stopIfTrue="1" operator="containsText" text="Non-responsive">
      <formula>NOT(ISERROR(SEARCH("Non-responsive",A141)))</formula>
    </cfRule>
  </conditionalFormatting>
  <conditionalFormatting sqref="M11:M138">
    <cfRule type="containsText" dxfId="3" priority="10" operator="containsText" text="included">
      <formula>NOT(ISERROR(SEARCH("included",M11)))</formula>
    </cfRule>
  </conditionalFormatting>
  <dataValidations xWindow="1173" yWindow="438" count="2">
    <dataValidation allowBlank="1" showInputMessage="1" showErrorMessage="1" prompt="Please Enter SAC Code" sqref="D85:D106 D11:D47"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48 J84:J106 J82 J108:J138" xr:uid="{00000000-0002-0000-0500-000001000000}">
      <formula1>0</formula1>
    </dataValidation>
  </dataValidations>
  <pageMargins left="0.7" right="0.7" top="0.75" bottom="0.75" header="0.3" footer="0.3"/>
  <pageSetup paperSize="9" scale="1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F26"/>
  <sheetViews>
    <sheetView view="pageBreakPreview" zoomScaleNormal="100" zoomScaleSheetLayoutView="100" workbookViewId="0">
      <selection sqref="A1:D1"/>
    </sheetView>
  </sheetViews>
  <sheetFormatPr defaultRowHeight="13.5"/>
  <cols>
    <col min="1" max="1" width="10.140625" style="160" bestFit="1" customWidth="1"/>
    <col min="2" max="2" width="41.140625" style="160" customWidth="1"/>
    <col min="3" max="3" width="16.42578125" style="160" customWidth="1"/>
    <col min="4" max="4" width="24" style="166" customWidth="1"/>
    <col min="5" max="5" width="9.140625" style="160"/>
    <col min="6" max="6" width="12.7109375" style="160" bestFit="1" customWidth="1"/>
    <col min="7" max="16384" width="9.140625" style="160"/>
  </cols>
  <sheetData>
    <row r="1" spans="1:4" ht="57.75" customHeight="1">
      <c r="A1" s="371" t="str">
        <f>'Name of Bidder'!A1</f>
        <v>Package-B for Construction of Field Hostel and Community Center at 765/400kV Kurnool-III PS under Transmission System for evacuation of power from RE sources in Kurnool Wind Energy Zone (3000MW)/ Solar Energy Zone (1500MW) Part-A and Part-B</v>
      </c>
      <c r="B1" s="371"/>
      <c r="C1" s="371"/>
      <c r="D1" s="371"/>
    </row>
    <row r="2" spans="1:4" ht="16.5">
      <c r="A2" s="371" t="s">
        <v>936</v>
      </c>
      <c r="B2" s="371"/>
      <c r="C2" s="371"/>
      <c r="D2" s="371"/>
    </row>
    <row r="3" spans="1:4">
      <c r="A3" s="425" t="s">
        <v>244</v>
      </c>
      <c r="B3" s="425"/>
      <c r="C3" s="425" t="s">
        <v>243</v>
      </c>
      <c r="D3" s="425"/>
    </row>
    <row r="4" spans="1:4">
      <c r="A4" s="270" t="s">
        <v>15</v>
      </c>
      <c r="B4" s="271">
        <f>'Name of Bidder'!C9</f>
        <v>0</v>
      </c>
      <c r="C4" s="270" t="s">
        <v>245</v>
      </c>
      <c r="D4" s="272"/>
    </row>
    <row r="5" spans="1:4" ht="16.5">
      <c r="A5" s="270" t="s">
        <v>16</v>
      </c>
      <c r="B5" s="271">
        <f>'Schedule-I'!C5</f>
        <v>0</v>
      </c>
      <c r="C5" s="427" t="s">
        <v>246</v>
      </c>
      <c r="D5" s="427"/>
    </row>
    <row r="6" spans="1:4" ht="16.5">
      <c r="A6" s="273"/>
      <c r="B6" s="271">
        <f>'Schedule-I'!C6</f>
        <v>0</v>
      </c>
      <c r="C6" s="62" t="s">
        <v>247</v>
      </c>
      <c r="D6" s="126"/>
    </row>
    <row r="7" spans="1:4" ht="16.5">
      <c r="A7" s="273"/>
      <c r="B7" s="271">
        <f>'Schedule-I'!C7</f>
        <v>0</v>
      </c>
      <c r="C7" s="62" t="s">
        <v>937</v>
      </c>
      <c r="D7" s="126"/>
    </row>
    <row r="8" spans="1:4" ht="16.5">
      <c r="A8" s="273"/>
      <c r="B8" s="271"/>
      <c r="C8" s="62" t="s">
        <v>938</v>
      </c>
      <c r="D8" s="126"/>
    </row>
    <row r="9" spans="1:4" ht="15">
      <c r="A9" s="161" t="s">
        <v>250</v>
      </c>
      <c r="B9" s="426" t="s">
        <v>939</v>
      </c>
      <c r="C9" s="426"/>
      <c r="D9" s="162" t="s">
        <v>940</v>
      </c>
    </row>
    <row r="10" spans="1:4" ht="15">
      <c r="A10" s="163">
        <v>1.1000000000000001</v>
      </c>
      <c r="B10" s="428" t="s">
        <v>941</v>
      </c>
      <c r="C10" s="428"/>
      <c r="D10" s="274"/>
    </row>
    <row r="11" spans="1:4" ht="69.75" customHeight="1">
      <c r="A11" s="163"/>
      <c r="B11" s="429" t="str">
        <f>"Supply &amp; Installation Charges- Schedule Civil Items for " &amp;A1</f>
        <v>Supply &amp; Installation Charges- Schedule Civil Items for Package-B for Construction of Field Hostel and Community Center at 765/400kV Kurnool-III PS under Transmission System for evacuation of power from RE sources in Kurnool Wind Energy Zone (3000MW)/ Solar Energy Zone (1500MW) Part-A and Part-B</v>
      </c>
      <c r="C11" s="429"/>
      <c r="D11" s="275" t="str">
        <f>'Schedule-I'!N351</f>
        <v/>
      </c>
    </row>
    <row r="12" spans="1:4" ht="15">
      <c r="A12" s="163">
        <v>1.2</v>
      </c>
      <c r="B12" s="428" t="s">
        <v>942</v>
      </c>
      <c r="C12" s="428"/>
      <c r="D12" s="275"/>
    </row>
    <row r="13" spans="1:4" ht="72.75" customHeight="1">
      <c r="A13" s="163"/>
      <c r="B13" s="429" t="str">
        <f>"Supply &amp; Installation Charges- Non-Schedule Civil Items for " &amp; A1</f>
        <v>Supply &amp; Installation Charges- Non-Schedule Civil Items for Package-B for Construction of Field Hostel and Community Center at 765/400kV Kurnool-III PS under Transmission System for evacuation of power from RE sources in Kurnool Wind Energy Zone (3000MW)/ Solar Energy Zone (1500MW) Part-A and Part-B</v>
      </c>
      <c r="C13" s="429"/>
      <c r="D13" s="276" t="str">
        <f>'Schedule-II'!K140</f>
        <v/>
      </c>
    </row>
    <row r="14" spans="1:4" ht="15">
      <c r="A14" s="163"/>
      <c r="B14" s="435"/>
      <c r="C14" s="436"/>
      <c r="D14" s="276"/>
    </row>
    <row r="15" spans="1:4" ht="39.75" customHeight="1">
      <c r="A15" s="163" t="s">
        <v>943</v>
      </c>
      <c r="B15" s="437" t="s">
        <v>944</v>
      </c>
      <c r="C15" s="438"/>
      <c r="D15" s="164" t="str">
        <f>IF(OR(D11="",D13=""),"Non-responsive Bid",D11+D13)</f>
        <v>Non-responsive Bid</v>
      </c>
    </row>
    <row r="16" spans="1:4" ht="15">
      <c r="A16" s="163"/>
      <c r="B16" s="430"/>
      <c r="C16" s="431"/>
      <c r="D16" s="164"/>
    </row>
    <row r="17" spans="1:6" ht="15">
      <c r="A17" s="163" t="s">
        <v>945</v>
      </c>
      <c r="B17" s="428" t="s">
        <v>946</v>
      </c>
      <c r="C17" s="428"/>
      <c r="D17" s="164"/>
      <c r="E17" s="281"/>
      <c r="F17" s="281"/>
    </row>
    <row r="18" spans="1:6" ht="15">
      <c r="A18" s="163"/>
      <c r="B18" s="429" t="s">
        <v>947</v>
      </c>
      <c r="C18" s="429"/>
      <c r="D18" s="164" t="str">
        <f>'Schedule-I'!O352</f>
        <v/>
      </c>
      <c r="E18" s="281"/>
      <c r="F18" s="281"/>
    </row>
    <row r="19" spans="1:6" ht="15">
      <c r="A19" s="163"/>
      <c r="B19" s="429" t="s">
        <v>948</v>
      </c>
      <c r="C19" s="429"/>
      <c r="D19" s="164" t="str">
        <f>'Schedule-II'!L140</f>
        <v/>
      </c>
      <c r="E19" s="281"/>
      <c r="F19" s="281"/>
    </row>
    <row r="20" spans="1:6" ht="45" customHeight="1">
      <c r="A20" s="163"/>
      <c r="B20" s="432" t="s">
        <v>949</v>
      </c>
      <c r="C20" s="432"/>
      <c r="D20" s="164" t="str">
        <f>IF(OR(D11="",D13=""),"Non-responsive Bid",D18+D19)</f>
        <v>Non-responsive Bid</v>
      </c>
      <c r="E20" s="281"/>
      <c r="F20" s="361"/>
    </row>
    <row r="21" spans="1:6" ht="15.75">
      <c r="A21" s="163"/>
      <c r="B21" s="433"/>
      <c r="C21" s="434"/>
      <c r="D21" s="165"/>
      <c r="E21" s="281"/>
      <c r="F21" s="281"/>
    </row>
    <row r="22" spans="1:6" ht="16.5">
      <c r="A22" s="163" t="s">
        <v>950</v>
      </c>
      <c r="B22" s="432" t="s">
        <v>951</v>
      </c>
      <c r="C22" s="432"/>
      <c r="D22" s="164" t="str">
        <f>IF(OR(D11="",D13=""),"Non-responsive Bid",D15+D20)</f>
        <v>Non-responsive Bid</v>
      </c>
      <c r="E22" s="281"/>
      <c r="F22" s="281"/>
    </row>
    <row r="23" spans="1:6">
      <c r="A23" s="277"/>
      <c r="B23" s="278"/>
      <c r="C23" s="278"/>
      <c r="D23" s="279"/>
      <c r="E23" s="281"/>
      <c r="F23" s="361"/>
    </row>
    <row r="24" spans="1:6">
      <c r="A24" s="280"/>
      <c r="B24" s="281"/>
      <c r="C24" s="281"/>
      <c r="D24" s="282"/>
      <c r="E24" s="281"/>
      <c r="F24" s="281"/>
    </row>
    <row r="25" spans="1:6">
      <c r="A25" s="283" t="s">
        <v>952</v>
      </c>
      <c r="B25" s="317"/>
      <c r="C25" s="270" t="s">
        <v>953</v>
      </c>
      <c r="D25" s="282">
        <f>'Name of Bidder'!C17</f>
        <v>0</v>
      </c>
      <c r="E25" s="281"/>
      <c r="F25" s="281"/>
    </row>
    <row r="26" spans="1:6">
      <c r="A26" s="284" t="s">
        <v>954</v>
      </c>
      <c r="B26" s="285">
        <f>'Name of Bidder'!C21</f>
        <v>0</v>
      </c>
      <c r="C26" s="286" t="s">
        <v>955</v>
      </c>
      <c r="D26" s="287">
        <f>'Name of Bidder'!C18</f>
        <v>0</v>
      </c>
      <c r="E26" s="281"/>
      <c r="F26" s="281"/>
    </row>
  </sheetData>
  <sheetProtection algorithmName="SHA-512" hashValue="S49Ips7ggU/KgPKI/38aYqzRB8URhoR6+nn8dlKaHXkNRR6hREwppEjK7GGcDlda12xQpSr+uNVEiy6DAtMqLQ==" saltValue="zZs6cJ5mWPSeZBmKw7iRGw=="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C5" sqref="C5:F5"/>
    </sheetView>
  </sheetViews>
  <sheetFormatPr defaultRowHeight="12.75"/>
  <cols>
    <col min="1" max="2" width="10.7109375" style="170" customWidth="1"/>
    <col min="3" max="3" width="14.7109375" style="170" customWidth="1"/>
    <col min="4" max="4" width="20.7109375" style="170" customWidth="1"/>
    <col min="5" max="5" width="12.7109375" style="170" customWidth="1"/>
    <col min="6" max="6" width="34.140625" style="170" customWidth="1"/>
    <col min="7" max="25" width="9.140625" style="170"/>
    <col min="26" max="26" width="12.5703125" style="170" customWidth="1"/>
    <col min="27" max="27" width="9.140625" style="170"/>
    <col min="28" max="28" width="16.140625" style="170" bestFit="1" customWidth="1"/>
    <col min="29" max="16384" width="9.140625" style="170"/>
  </cols>
  <sheetData>
    <row r="1" spans="1:6" ht="17.25">
      <c r="A1" s="167" t="str">
        <f>'Name of Bidder'!A2:C2</f>
        <v>Specification No: Ref: SR-I/C&amp;M/WC-3810/2024/RFx-5002003836(SR1/NT/S-MISC/DOM/B00/24/11240) (Pkg-B)</v>
      </c>
      <c r="B1" s="167"/>
      <c r="C1" s="168"/>
      <c r="D1" s="168"/>
      <c r="E1" s="168"/>
      <c r="F1" s="169" t="s">
        <v>956</v>
      </c>
    </row>
    <row r="2" spans="1:6" ht="16.5">
      <c r="A2" s="171"/>
      <c r="B2" s="171"/>
      <c r="C2" s="171"/>
      <c r="D2" s="171"/>
      <c r="E2" s="171"/>
      <c r="F2" s="171"/>
    </row>
    <row r="3" spans="1:6" ht="15">
      <c r="A3" s="440" t="s">
        <v>957</v>
      </c>
      <c r="B3" s="440"/>
      <c r="C3" s="440"/>
      <c r="D3" s="440"/>
      <c r="E3" s="440"/>
      <c r="F3" s="440"/>
    </row>
    <row r="4" spans="1:6" ht="15">
      <c r="A4" s="172"/>
      <c r="B4" s="172"/>
      <c r="C4" s="172"/>
      <c r="D4" s="172"/>
      <c r="E4" s="172"/>
      <c r="F4" s="172"/>
    </row>
    <row r="5" spans="1:6" ht="16.5">
      <c r="A5" s="173" t="s">
        <v>958</v>
      </c>
      <c r="B5" s="173"/>
      <c r="C5" s="441"/>
      <c r="D5" s="441"/>
      <c r="E5" s="441"/>
      <c r="F5" s="441"/>
    </row>
    <row r="6" spans="1:6" ht="16.5">
      <c r="A6" s="173" t="s">
        <v>19</v>
      </c>
      <c r="B6" s="442"/>
      <c r="C6" s="442"/>
      <c r="D6" s="171"/>
      <c r="E6" s="171"/>
      <c r="F6" s="171"/>
    </row>
    <row r="7" spans="1:6" ht="16.5">
      <c r="A7" s="173"/>
      <c r="B7" s="174"/>
      <c r="C7" s="174"/>
      <c r="D7" s="171"/>
      <c r="E7" s="171"/>
      <c r="F7" s="171"/>
    </row>
    <row r="8" spans="1:6" ht="16.5">
      <c r="A8" s="175" t="s">
        <v>243</v>
      </c>
      <c r="B8" s="176"/>
      <c r="C8" s="171"/>
      <c r="D8" s="171"/>
      <c r="E8" s="171"/>
      <c r="F8" s="177"/>
    </row>
    <row r="9" spans="1:6" ht="16.5">
      <c r="A9" s="178" t="s">
        <v>245</v>
      </c>
      <c r="B9" s="178"/>
      <c r="C9" s="171"/>
      <c r="D9" s="171"/>
      <c r="E9" s="171"/>
      <c r="F9" s="177"/>
    </row>
    <row r="10" spans="1:6" ht="16.5">
      <c r="A10" s="178" t="s">
        <v>246</v>
      </c>
      <c r="B10" s="178"/>
      <c r="C10" s="171"/>
      <c r="D10" s="171"/>
      <c r="E10" s="171"/>
      <c r="F10" s="177"/>
    </row>
    <row r="11" spans="1:6" ht="16.5">
      <c r="A11" s="178" t="s">
        <v>959</v>
      </c>
      <c r="B11" s="178"/>
      <c r="C11" s="171"/>
      <c r="D11" s="171"/>
      <c r="E11" s="171"/>
      <c r="F11" s="177"/>
    </row>
    <row r="12" spans="1:6" ht="16.5">
      <c r="A12" s="178"/>
      <c r="B12" s="178"/>
      <c r="C12" s="171"/>
      <c r="D12" s="171"/>
      <c r="E12" s="171"/>
      <c r="F12" s="177"/>
    </row>
    <row r="13" spans="1:6" ht="16.5">
      <c r="A13" s="178"/>
      <c r="B13" s="178"/>
      <c r="C13" s="171"/>
      <c r="D13" s="171"/>
      <c r="E13" s="171"/>
      <c r="F13" s="177"/>
    </row>
    <row r="14" spans="1:6" ht="16.5">
      <c r="A14" s="173"/>
      <c r="B14" s="173"/>
      <c r="C14" s="171"/>
      <c r="D14" s="171"/>
      <c r="E14" s="171"/>
      <c r="F14" s="177"/>
    </row>
    <row r="15" spans="1:6" ht="68.25" customHeight="1">
      <c r="A15" s="179" t="s">
        <v>960</v>
      </c>
      <c r="B15" s="180"/>
      <c r="C15" s="443" t="str">
        <f>'Name of Bidder'!A1</f>
        <v>Package-B for Construction of Field Hostel and Community Center at 765/400kV Kurnool-III PS under Transmission System for evacuation of power from RE sources in Kurnool Wind Energy Zone (3000MW)/ Solar Energy Zone (1500MW) Part-A and Part-B</v>
      </c>
      <c r="D15" s="443"/>
      <c r="E15" s="443"/>
      <c r="F15" s="443"/>
    </row>
    <row r="16" spans="1:6" ht="45.75" customHeight="1">
      <c r="A16" s="171" t="s">
        <v>961</v>
      </c>
      <c r="B16" s="171"/>
      <c r="C16" s="177"/>
      <c r="D16" s="177"/>
      <c r="E16" s="177"/>
      <c r="F16" s="177"/>
    </row>
    <row r="17" spans="1:28" ht="113.25" customHeight="1">
      <c r="A17" s="180">
        <v>1</v>
      </c>
      <c r="B17" s="444"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444"/>
      <c r="D17" s="444"/>
      <c r="E17" s="444"/>
      <c r="F17" s="444"/>
      <c r="Z17" s="182" t="s">
        <v>962</v>
      </c>
      <c r="AA17" s="183" t="s">
        <v>963</v>
      </c>
      <c r="AB17" s="184" t="str">
        <f>'Schedule-III-Summary'!D22</f>
        <v>Non-responsive Bid</v>
      </c>
    </row>
    <row r="18" spans="1:28" ht="42" customHeight="1">
      <c r="A18" s="171"/>
      <c r="B18" s="439" t="s">
        <v>964</v>
      </c>
      <c r="C18" s="439"/>
      <c r="D18" s="439"/>
      <c r="E18" s="439"/>
      <c r="F18" s="439"/>
    </row>
    <row r="19" spans="1:28" ht="16.5">
      <c r="A19" s="185">
        <v>2</v>
      </c>
      <c r="B19" s="446" t="s">
        <v>965</v>
      </c>
      <c r="C19" s="446"/>
      <c r="D19" s="446"/>
      <c r="E19" s="446"/>
      <c r="F19" s="446"/>
    </row>
    <row r="20" spans="1:28" ht="33.75" customHeight="1">
      <c r="A20" s="180">
        <v>2.1</v>
      </c>
      <c r="B20" s="444" t="s">
        <v>966</v>
      </c>
      <c r="C20" s="444"/>
      <c r="D20" s="444"/>
      <c r="E20" s="444"/>
      <c r="F20" s="444"/>
    </row>
    <row r="21" spans="1:28" ht="16.5">
      <c r="A21" s="180"/>
      <c r="B21" s="181" t="s">
        <v>967</v>
      </c>
      <c r="C21" s="447" t="s">
        <v>968</v>
      </c>
      <c r="D21" s="447"/>
      <c r="E21" s="447"/>
      <c r="F21" s="447"/>
    </row>
    <row r="22" spans="1:28" ht="16.5">
      <c r="A22" s="180"/>
      <c r="B22" s="181" t="s">
        <v>969</v>
      </c>
      <c r="C22" s="447" t="s">
        <v>970</v>
      </c>
      <c r="D22" s="447"/>
      <c r="E22" s="447"/>
      <c r="F22" s="447"/>
    </row>
    <row r="23" spans="1:28" ht="16.5" customHeight="1">
      <c r="A23" s="180"/>
      <c r="B23" s="181" t="s">
        <v>971</v>
      </c>
      <c r="C23" s="447" t="s">
        <v>972</v>
      </c>
      <c r="D23" s="447"/>
      <c r="E23" s="447"/>
      <c r="F23" s="447"/>
    </row>
    <row r="24" spans="1:28" ht="16.5">
      <c r="A24" s="171"/>
      <c r="B24" s="445"/>
      <c r="C24" s="445"/>
      <c r="D24" s="179"/>
      <c r="E24" s="179"/>
      <c r="F24" s="179"/>
    </row>
    <row r="25" spans="1:28" ht="87.75" customHeight="1">
      <c r="A25" s="186">
        <v>2.2000000000000002</v>
      </c>
      <c r="B25" s="444" t="s">
        <v>973</v>
      </c>
      <c r="C25" s="444"/>
      <c r="D25" s="444"/>
      <c r="E25" s="444"/>
      <c r="F25" s="444"/>
    </row>
    <row r="26" spans="1:28" ht="51" customHeight="1">
      <c r="A26" s="186">
        <v>2.2999999999999998</v>
      </c>
      <c r="B26" s="444" t="s">
        <v>974</v>
      </c>
      <c r="C26" s="444"/>
      <c r="D26" s="444"/>
      <c r="E26" s="444"/>
      <c r="F26" s="444"/>
    </row>
    <row r="27" spans="1:28" ht="120" customHeight="1">
      <c r="A27" s="186">
        <v>2.4</v>
      </c>
      <c r="B27" s="444" t="s">
        <v>975</v>
      </c>
      <c r="C27" s="444"/>
      <c r="D27" s="444"/>
      <c r="E27" s="444"/>
      <c r="F27" s="444"/>
    </row>
    <row r="28" spans="1:28" ht="97.5" customHeight="1">
      <c r="A28" s="180">
        <v>3</v>
      </c>
      <c r="B28" s="444" t="s">
        <v>976</v>
      </c>
      <c r="C28" s="444"/>
      <c r="D28" s="444"/>
      <c r="E28" s="444"/>
      <c r="F28" s="444"/>
    </row>
    <row r="29" spans="1:28" ht="62.25" customHeight="1">
      <c r="A29" s="186">
        <v>3.1</v>
      </c>
      <c r="B29" s="447" t="s">
        <v>977</v>
      </c>
      <c r="C29" s="447"/>
      <c r="D29" s="447"/>
      <c r="E29" s="447"/>
      <c r="F29" s="447"/>
    </row>
    <row r="30" spans="1:28" ht="57" customHeight="1">
      <c r="A30" s="186">
        <v>3.2</v>
      </c>
      <c r="B30" s="444" t="s">
        <v>978</v>
      </c>
      <c r="C30" s="444"/>
      <c r="D30" s="444"/>
      <c r="E30" s="444"/>
      <c r="F30" s="444"/>
    </row>
    <row r="31" spans="1:28" ht="62.25" customHeight="1">
      <c r="A31" s="186">
        <v>3.3</v>
      </c>
      <c r="B31" s="444" t="s">
        <v>979</v>
      </c>
      <c r="C31" s="444"/>
      <c r="D31" s="444"/>
      <c r="E31" s="444"/>
      <c r="F31" s="444"/>
    </row>
    <row r="32" spans="1:28" ht="79.5" customHeight="1">
      <c r="A32" s="180">
        <v>4</v>
      </c>
      <c r="B32" s="444" t="s">
        <v>980</v>
      </c>
      <c r="C32" s="444"/>
      <c r="D32" s="444"/>
      <c r="E32" s="444"/>
      <c r="F32" s="444"/>
    </row>
    <row r="33" spans="1:6" ht="89.25" customHeight="1">
      <c r="A33" s="180">
        <v>5</v>
      </c>
      <c r="B33" s="444" t="s">
        <v>981</v>
      </c>
      <c r="C33" s="444"/>
      <c r="D33" s="444"/>
      <c r="E33" s="444"/>
      <c r="F33" s="444"/>
    </row>
    <row r="34" spans="1:6" ht="16.5">
      <c r="A34" s="171"/>
      <c r="B34" s="187" t="str">
        <f>IF(ISERROR("Dated this " &amp; AG6 &amp; LOOKUP(AG6,AE1:AE27,AF1:AF27) &amp; " day of " &amp; AG8 &amp; " " &amp;AG9), "", "Dated this " &amp; AG6 &amp; LOOKUP(AG6,AE1:AE27,AF1:AF27) &amp; " day of " &amp; AG8 &amp; " " &amp;AG9)</f>
        <v/>
      </c>
      <c r="C34" s="187"/>
      <c r="D34" s="187"/>
      <c r="E34" s="188"/>
      <c r="F34" s="188"/>
    </row>
    <row r="35" spans="1:6" ht="16.5">
      <c r="A35" s="171"/>
      <c r="B35" s="187" t="s">
        <v>982</v>
      </c>
      <c r="C35" s="189"/>
      <c r="D35" s="190"/>
      <c r="E35" s="190"/>
      <c r="F35" s="190"/>
    </row>
    <row r="36" spans="1:6" ht="16.5">
      <c r="A36" s="171"/>
      <c r="B36" s="191"/>
      <c r="C36" s="190"/>
      <c r="D36" s="190"/>
      <c r="E36" s="187"/>
      <c r="F36" s="192" t="s">
        <v>983</v>
      </c>
    </row>
    <row r="37" spans="1:6" ht="16.5">
      <c r="A37" s="171"/>
      <c r="B37" s="191"/>
      <c r="C37" s="190"/>
      <c r="D37" s="187"/>
      <c r="E37" s="187"/>
      <c r="F37" s="192" t="str">
        <f>"For and on behalf of " &amp; 'Schedule-I'!C3</f>
        <v xml:space="preserve">For and on behalf of </v>
      </c>
    </row>
    <row r="38" spans="1:6" ht="16.5">
      <c r="A38" s="193"/>
      <c r="B38" s="193"/>
      <c r="C38" s="194"/>
      <c r="D38" s="193"/>
      <c r="E38" s="195"/>
      <c r="F38" s="173"/>
    </row>
    <row r="39" spans="1:6" ht="16.5">
      <c r="A39" s="196" t="s">
        <v>984</v>
      </c>
      <c r="B39" s="448">
        <f>'Name of Bidder'!C20</f>
        <v>0</v>
      </c>
      <c r="C39" s="448"/>
      <c r="D39" s="193"/>
      <c r="E39" s="195" t="s">
        <v>20</v>
      </c>
      <c r="F39" s="197">
        <f>'Name of Bidder'!C17</f>
        <v>0</v>
      </c>
    </row>
    <row r="40" spans="1:6" ht="16.5">
      <c r="A40" s="196" t="s">
        <v>954</v>
      </c>
      <c r="B40" s="197">
        <f>'Name of Bidder'!C21</f>
        <v>0</v>
      </c>
      <c r="C40" s="198"/>
      <c r="D40" s="193"/>
      <c r="E40" s="195" t="s">
        <v>22</v>
      </c>
      <c r="F40" s="197">
        <f>'Name of Bidder'!C18</f>
        <v>0</v>
      </c>
    </row>
    <row r="41" spans="1:6" ht="16.5">
      <c r="A41" s="171"/>
      <c r="B41" s="171"/>
      <c r="C41" s="171"/>
      <c r="D41" s="193"/>
      <c r="E41" s="195"/>
      <c r="F41" s="171"/>
    </row>
    <row r="42" spans="1:6" ht="16.5">
      <c r="A42" s="199" t="s">
        <v>985</v>
      </c>
      <c r="B42" s="200"/>
      <c r="C42" s="201"/>
      <c r="D42" s="187"/>
      <c r="E42" s="192"/>
      <c r="F42" s="187"/>
    </row>
    <row r="43" spans="1:6" ht="16.5">
      <c r="A43" s="449" t="s">
        <v>986</v>
      </c>
      <c r="B43" s="449"/>
      <c r="C43" s="449"/>
      <c r="D43" s="450"/>
      <c r="E43" s="450"/>
      <c r="F43" s="450"/>
    </row>
    <row r="44" spans="1:6" ht="16.5">
      <c r="A44" s="451"/>
      <c r="B44" s="451"/>
      <c r="C44" s="451"/>
      <c r="D44" s="125"/>
      <c r="E44" s="125"/>
      <c r="F44" s="125"/>
    </row>
    <row r="45" spans="1:6" ht="16.5">
      <c r="A45" s="453"/>
      <c r="B45" s="453"/>
      <c r="C45" s="453"/>
      <c r="D45" s="125"/>
      <c r="E45" s="125"/>
      <c r="F45" s="125"/>
    </row>
    <row r="46" spans="1:6" ht="16.5">
      <c r="A46" s="454" t="s">
        <v>987</v>
      </c>
      <c r="B46" s="454"/>
      <c r="C46" s="454"/>
      <c r="D46" s="450"/>
      <c r="E46" s="450"/>
      <c r="F46" s="450"/>
    </row>
    <row r="47" spans="1:6" ht="16.5">
      <c r="A47" s="454" t="s">
        <v>988</v>
      </c>
      <c r="B47" s="454"/>
      <c r="C47" s="454"/>
      <c r="D47" s="450"/>
      <c r="E47" s="450"/>
      <c r="F47" s="450"/>
    </row>
    <row r="48" spans="1:6" ht="16.5">
      <c r="A48" s="454" t="s">
        <v>989</v>
      </c>
      <c r="B48" s="454"/>
      <c r="C48" s="454"/>
      <c r="D48" s="450"/>
      <c r="E48" s="450"/>
      <c r="F48" s="450"/>
    </row>
    <row r="49" spans="1:6" ht="16.5">
      <c r="A49" s="449" t="s">
        <v>990</v>
      </c>
      <c r="B49" s="449"/>
      <c r="C49" s="449"/>
      <c r="D49" s="450"/>
      <c r="E49" s="450"/>
      <c r="F49" s="450"/>
    </row>
    <row r="50" spans="1:6" ht="16.5">
      <c r="A50" s="451"/>
      <c r="B50" s="451"/>
      <c r="C50" s="451"/>
      <c r="D50" s="125"/>
      <c r="E50" s="125"/>
      <c r="F50" s="125"/>
    </row>
    <row r="51" spans="1:6" ht="16.5">
      <c r="A51" s="453"/>
      <c r="B51" s="453"/>
      <c r="C51" s="453"/>
      <c r="D51" s="125"/>
      <c r="E51" s="125"/>
      <c r="F51" s="125"/>
    </row>
    <row r="52" spans="1:6" ht="37.5" customHeight="1">
      <c r="A52" s="45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455"/>
      <c r="C52" s="455"/>
      <c r="D52" s="455"/>
      <c r="E52" s="455"/>
      <c r="F52" s="455"/>
    </row>
    <row r="53" spans="1:6" ht="18.75">
      <c r="A53" s="452" t="s">
        <v>991</v>
      </c>
      <c r="B53" s="452"/>
      <c r="C53" s="452"/>
      <c r="D53" s="452"/>
      <c r="E53" s="452"/>
      <c r="F53" s="452"/>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voorai vasini dattathreya</dc:creator>
  <cp:keywords/>
  <dc:description/>
  <cp:lastModifiedBy>Voorai Vasini Dattathreya {वी. वासिनी दत्तात्रेय}</cp:lastModifiedBy>
  <cp:revision/>
  <dcterms:created xsi:type="dcterms:W3CDTF">2010-09-27T08:09:01Z</dcterms:created>
  <dcterms:modified xsi:type="dcterms:W3CDTF">2024-08-29T13:09:16Z</dcterms:modified>
  <cp:category/>
  <cp:contentStatus/>
</cp:coreProperties>
</file>