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mc:AlternateContent xmlns:mc="http://schemas.openxmlformats.org/markup-compatibility/2006">
    <mc:Choice Requires="x15">
      <x15ac:absPath xmlns:x15ac="http://schemas.microsoft.com/office/spreadsheetml/2010/11/ac" url="F:\PRANIT-PUBLISH\WC-3810\WC-3810 Const of Transit Camp, Filed Hostel &amp; CC at Kurnool-3\Package-B\Package-B-Bid docs -Publish\"/>
    </mc:Choice>
  </mc:AlternateContent>
  <xr:revisionPtr revIDLastSave="0" documentId="13_ncr:1_{3225A8C8-9A8E-4418-B3DE-1ED06DFBCA1E}" xr6:coauthVersionLast="47" xr6:coauthVersionMax="47" xr10:uidLastSave="{00000000-0000-0000-0000-000000000000}"/>
  <workbookProtection workbookAlgorithmName="SHA-512" workbookHashValue="DfUI5UWNv4CozR3vjgakGDXw3xnVtmylPeQAztBE83F8ufveRh3KWnfGyxepkDA3YhXkQuPgJ3phywt6RqcY5w==" workbookSaltValue="nsMojVeh87p/JKI7kEZGYA==" workbookSpinCount="100000"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'Schedule-I'!$A$1:$O$353</definedName>
    <definedName name="_xlnm.Print_Area" localSheetId="5">'Schedule-II'!$A$1:$M$141</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'Schedule-I'!$A$1:$O$352</definedName>
    <definedName name="Z_71DFD631_F0FC_4D77_B088_495FC5677788_.wvu.PrintArea" localSheetId="5" hidden="1">'Schedule-II'!$A$1:$L$140</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'Schedule-I'!$A$1:$O$353</definedName>
    <definedName name="Z_768FBB31_C98F_42D8_8A21_9E4C92CB0C4E_.wvu.PrintArea" localSheetId="5" hidden="1">'Schedule-II'!$A$1:$M$141</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'Schedule-I'!$A$1:$O$353</definedName>
    <definedName name="Z_F3854C08_3477_4F6D_851C_40DFA3C6F6FE_.wvu.PrintArea" localSheetId="5" hidden="1">'Schedule-II'!$A$1:$M$141</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'Schedule-I'!$A$1:$O$352</definedName>
    <definedName name="Z_FAE469C4_CC0E_407B_871F_7B3C94956CEC_.wvu.PrintArea" localSheetId="5" hidden="1">'Schedule-II'!$A$1:$L$140</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Ramu Jella {जेल्‍ला रामू} - Personal View" guid="{FAE469C4-CC0E-407B-871F-7B3C94956CEC}" mergeInterval="0" personalView="1" maximized="1" windowWidth="1596" windowHeight="674" tabRatio="908" activeSheetId="1"/>
    <customWorkbookView name="Srimannarayana Gajula {श्री जी. श्रीमननारायण} - Personal View" guid="{A60C0BDD-7FB1-4EBA-A0E1-529280DA1A28}" mergeInterval="0" personalView="1" maximized="1" xWindow="-8" yWindow="-8" windowWidth="1382" windowHeight="744" tabRatio="908" activeSheetId="12"/>
    <customWorkbookView name="60020139 - Personal View" guid="{9CE94B9F-4902-4B08-AE4E-74E93D8E789E}" mergeInterval="0" personalView="1" maximized="1" xWindow="1" yWindow="1" windowWidth="1024" windowHeight="505" tabRatio="908" activeSheetId="3"/>
    <customWorkbookView name="AGM_ONM1 - Personal View" guid="{61A8E90E-9DEC-4083-98B2-482D9678BA93}" mergeInterval="0" personalView="1" maximized="1" xWindow="1" yWindow="1" windowWidth="1167" windowHeight="587" tabRatio="908" activeSheetId="3"/>
    <customWorkbookView name="20587 - Personal View" guid="{629BDD3E-4046-451D-8D01-11325237A091}" mergeInterval="0" personalView="1" maximized="1" windowWidth="1362" windowHeight="517" tabRatio="908" activeSheetId="1"/>
    <customWorkbookView name="02345 - Personal View" guid="{C0D2F720-9CF1-451B-A21B-46E9EE29F95A}" mergeInterval="0" personalView="1" maximized="1" xWindow="1" yWindow="1" windowWidth="1366" windowHeight="538" tabRatio="908" activeSheetId="1"/>
    <customWorkbookView name="Baijnath Singh - Personal View" guid="{3545AE1A-D3DD-4FC8-880A-180A3F66AD42}" mergeInterval="0" personalView="1" maximized="1" windowWidth="1362" windowHeight="495" tabRatio="908" activeSheetId="20"/>
    <customWorkbookView name="01192 - Personal View" guid="{1C70608C-646A-4043-A222-6253B5006A93}" mergeInterval="0" personalView="1" maximized="1" xWindow="1" yWindow="1" windowWidth="1366" windowHeight="538" tabRatio="807" activeSheetId="2" showComments="commIndAndComment"/>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290 - Personal View" guid="{6B2C1320-5106-401D-86E8-03FFC7419150}" mergeInterval="0" personalView="1" maximized="1" windowWidth="1362" windowHeight="509" tabRatio="908" activeSheetId="1"/>
    <customWorkbookView name="31094 - Personal View" guid="{863DE73B-EDD5-4C94-B877-7C156CB081F7}" mergeInterval="0" personalView="1" maximized="1" xWindow="1" yWindow="1" windowWidth="1362" windowHeight="538" tabRatio="908" activeSheetId="1"/>
    <customWorkbookView name="P S N Sarma {पी.एस.एन. सरमा} - Personal View" guid="{DF819C10-7533-4A2E-B278-90B3B38A4AE6}" mergeInterval="0" personalView="1" maximized="1" xWindow="-8" yWindow="-8" windowWidth="1382" windowHeight="744" tabRatio="908" activeSheetId="1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Chittaloori Venkanna {चित्‍तलूरी वेंकन्‍ना} - Personal View" guid="{71DFD631-F0FC-4D77-B088-495FC5677788}" mergeInterval="0" personalView="1" maximized="1" windowWidth="1362" windowHeight="502" tabRatio="908" activeSheetId="1"/>
    <customWorkbookView name="C Lakshmi Manogna {सी लक्ष्मी  मनोगना} - Personal View" guid="{768FBB31-C98F-42D8-8A21-9E4C92CB0C4E}" mergeInterval="0" personalView="1" maximized="1" windowWidth="1436" windowHeight="634" tabRatio="908" activeSheetId="1"/>
    <customWorkbookView name="T Suryaprakash {टी. सूर्यप्रकाश} - Personal View" guid="{F3854C08-3477-4F6D-851C-40DFA3C6F6FE}" mergeInterval="0" personalView="1" maximized="1" windowWidth="1916" windowHeight="814" tabRatio="908"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 i="6" l="1"/>
  <c r="P9" i="6"/>
  <c r="M12" i="6" l="1"/>
  <c r="M130" i="6"/>
  <c r="M90" i="6"/>
  <c r="M50" i="6"/>
  <c r="M30" i="6"/>
  <c r="M129" i="6"/>
  <c r="M109" i="6"/>
  <c r="M89" i="6"/>
  <c r="M69" i="6"/>
  <c r="M29" i="6"/>
  <c r="M68" i="6"/>
  <c r="M127" i="6"/>
  <c r="M87" i="6"/>
  <c r="M47" i="6"/>
  <c r="M27" i="6"/>
  <c r="M126" i="6"/>
  <c r="M66" i="6"/>
  <c r="M26" i="6"/>
  <c r="M125" i="6"/>
  <c r="M85" i="6"/>
  <c r="M65" i="6"/>
  <c r="M64" i="6"/>
  <c r="M123" i="6"/>
  <c r="M63" i="6"/>
  <c r="M42" i="6"/>
  <c r="M121" i="6"/>
  <c r="M101" i="6"/>
  <c r="M61" i="6"/>
  <c r="M120" i="6"/>
  <c r="M60" i="6"/>
  <c r="M40" i="6"/>
  <c r="M99" i="6"/>
  <c r="M59" i="6"/>
  <c r="M19" i="6"/>
  <c r="M138" i="6"/>
  <c r="M118" i="6"/>
  <c r="M98" i="6"/>
  <c r="M78" i="6"/>
  <c r="M58" i="6"/>
  <c r="M38" i="6"/>
  <c r="M18" i="6"/>
  <c r="M137" i="6"/>
  <c r="M117" i="6"/>
  <c r="M97" i="6"/>
  <c r="M77" i="6"/>
  <c r="M57" i="6"/>
  <c r="M37" i="6"/>
  <c r="M17" i="6"/>
  <c r="M136" i="6"/>
  <c r="M116" i="6"/>
  <c r="M96" i="6"/>
  <c r="M76" i="6"/>
  <c r="M56" i="6"/>
  <c r="M36" i="6"/>
  <c r="M16" i="6"/>
  <c r="M131" i="6"/>
  <c r="M111" i="6"/>
  <c r="M91" i="6"/>
  <c r="M71" i="6"/>
  <c r="M51" i="6"/>
  <c r="M31" i="6"/>
  <c r="M110" i="6"/>
  <c r="M70" i="6"/>
  <c r="M128" i="6"/>
  <c r="M88" i="6"/>
  <c r="M28" i="6"/>
  <c r="M67" i="6"/>
  <c r="M106" i="6"/>
  <c r="M86" i="6"/>
  <c r="M46" i="6"/>
  <c r="M105" i="6"/>
  <c r="M45" i="6"/>
  <c r="M25" i="6"/>
  <c r="M124" i="6"/>
  <c r="M104" i="6"/>
  <c r="M44" i="6"/>
  <c r="M24" i="6"/>
  <c r="M103" i="6"/>
  <c r="M43" i="6"/>
  <c r="M23" i="6"/>
  <c r="M122" i="6"/>
  <c r="M102" i="6"/>
  <c r="M62" i="6"/>
  <c r="M22" i="6"/>
  <c r="M81" i="6"/>
  <c r="M41" i="6"/>
  <c r="M21" i="6"/>
  <c r="M100" i="6"/>
  <c r="M80" i="6"/>
  <c r="M20" i="6"/>
  <c r="M119" i="6"/>
  <c r="M79" i="6"/>
  <c r="M39" i="6"/>
  <c r="M135" i="6"/>
  <c r="M115" i="6"/>
  <c r="M95" i="6"/>
  <c r="M75" i="6"/>
  <c r="M55" i="6"/>
  <c r="M35" i="6"/>
  <c r="M15" i="6"/>
  <c r="M134" i="6"/>
  <c r="M114" i="6"/>
  <c r="M94" i="6"/>
  <c r="M74" i="6"/>
  <c r="M54" i="6"/>
  <c r="M34" i="6"/>
  <c r="M14" i="6"/>
  <c r="M133" i="6"/>
  <c r="M113" i="6"/>
  <c r="M93" i="6"/>
  <c r="M73" i="6"/>
  <c r="M53" i="6"/>
  <c r="M13" i="6"/>
  <c r="M132" i="6"/>
  <c r="M112" i="6"/>
  <c r="M92" i="6"/>
  <c r="M72" i="6"/>
  <c r="M52" i="6"/>
  <c r="M32" i="6"/>
  <c r="M291" i="5"/>
  <c r="M76" i="5"/>
  <c r="N76" i="5" s="1"/>
  <c r="O76" i="5" s="1"/>
  <c r="K138" i="6" l="1"/>
  <c r="L138" i="6" s="1"/>
  <c r="K137" i="6"/>
  <c r="L137" i="6" s="1"/>
  <c r="K136" i="6"/>
  <c r="L136" i="6" s="1"/>
  <c r="K135" i="6"/>
  <c r="L135" i="6" s="1"/>
  <c r="K134" i="6"/>
  <c r="L134" i="6" s="1"/>
  <c r="K133" i="6"/>
  <c r="L133" i="6" s="1"/>
  <c r="K132" i="6"/>
  <c r="L132" i="6" s="1"/>
  <c r="K131" i="6"/>
  <c r="L131" i="6" s="1"/>
  <c r="K130" i="6"/>
  <c r="L130" i="6" s="1"/>
  <c r="K129" i="6"/>
  <c r="L129" i="6" s="1"/>
  <c r="K128" i="6"/>
  <c r="L128" i="6" s="1"/>
  <c r="K127" i="6"/>
  <c r="L127" i="6" s="1"/>
  <c r="K126" i="6"/>
  <c r="L126" i="6" s="1"/>
  <c r="K125" i="6"/>
  <c r="L125" i="6" s="1"/>
  <c r="K124" i="6"/>
  <c r="L124" i="6" s="1"/>
  <c r="K123" i="6"/>
  <c r="L123" i="6" s="1"/>
  <c r="K122" i="6"/>
  <c r="L122" i="6" s="1"/>
  <c r="K121" i="6"/>
  <c r="L121" i="6" s="1"/>
  <c r="K120" i="6"/>
  <c r="L120" i="6" s="1"/>
  <c r="K119" i="6"/>
  <c r="L119" i="6" s="1"/>
  <c r="K118" i="6"/>
  <c r="L118" i="6" s="1"/>
  <c r="K117" i="6"/>
  <c r="L117" i="6" s="1"/>
  <c r="K116" i="6"/>
  <c r="L116" i="6" s="1"/>
  <c r="K115" i="6"/>
  <c r="L115" i="6" s="1"/>
  <c r="K114" i="6"/>
  <c r="L114" i="6" s="1"/>
  <c r="K113" i="6"/>
  <c r="L113" i="6" s="1"/>
  <c r="K112" i="6"/>
  <c r="L112" i="6" s="1"/>
  <c r="K111" i="6"/>
  <c r="L111" i="6" s="1"/>
  <c r="K110" i="6"/>
  <c r="L110" i="6" s="1"/>
  <c r="K109" i="6"/>
  <c r="L109" i="6" s="1"/>
  <c r="K81" i="6"/>
  <c r="L81" i="6" s="1"/>
  <c r="K80" i="6"/>
  <c r="L80" i="6" s="1"/>
  <c r="K79" i="6"/>
  <c r="L79" i="6" s="1"/>
  <c r="K78" i="6"/>
  <c r="L78" i="6" s="1"/>
  <c r="K77" i="6"/>
  <c r="L77" i="6" s="1"/>
  <c r="K76" i="6"/>
  <c r="L76" i="6" s="1"/>
  <c r="K75" i="6"/>
  <c r="L75" i="6" s="1"/>
  <c r="K74" i="6"/>
  <c r="L74" i="6" s="1"/>
  <c r="K73" i="6"/>
  <c r="L73" i="6" s="1"/>
  <c r="K72" i="6"/>
  <c r="L72" i="6" s="1"/>
  <c r="K71" i="6"/>
  <c r="L71" i="6" s="1"/>
  <c r="K70" i="6"/>
  <c r="L70" i="6" s="1"/>
  <c r="K69" i="6"/>
  <c r="L69" i="6" s="1"/>
  <c r="K68" i="6"/>
  <c r="L68" i="6" s="1"/>
  <c r="K67" i="6"/>
  <c r="L67" i="6" s="1"/>
  <c r="K66" i="6"/>
  <c r="L66" i="6" s="1"/>
  <c r="K65" i="6"/>
  <c r="L65" i="6" s="1"/>
  <c r="K64" i="6"/>
  <c r="L64" i="6" s="1"/>
  <c r="K63" i="6"/>
  <c r="L63" i="6" s="1"/>
  <c r="K62" i="6"/>
  <c r="L62" i="6" s="1"/>
  <c r="K61" i="6"/>
  <c r="L61" i="6" s="1"/>
  <c r="K60" i="6"/>
  <c r="L60" i="6" s="1"/>
  <c r="K59" i="6"/>
  <c r="L59" i="6" s="1"/>
  <c r="K58" i="6"/>
  <c r="L58" i="6" s="1"/>
  <c r="K57" i="6"/>
  <c r="L57" i="6" s="1"/>
  <c r="K56" i="6"/>
  <c r="L56" i="6" s="1"/>
  <c r="K55" i="6"/>
  <c r="L55" i="6" s="1"/>
  <c r="K54" i="6"/>
  <c r="L54" i="6" s="1"/>
  <c r="K53" i="6"/>
  <c r="L53" i="6" s="1"/>
  <c r="K52" i="6"/>
  <c r="L52" i="6" s="1"/>
  <c r="K51" i="6"/>
  <c r="L51" i="6" s="1"/>
  <c r="K50" i="6"/>
  <c r="L50" i="6" s="1"/>
  <c r="L139" i="6" l="1"/>
  <c r="K139" i="6"/>
  <c r="L82" i="6"/>
  <c r="K82" i="6"/>
  <c r="M345" i="5"/>
  <c r="N345" i="5" s="1"/>
  <c r="O345" i="5" s="1"/>
  <c r="M344" i="5"/>
  <c r="N344" i="5" s="1"/>
  <c r="O344" i="5" s="1"/>
  <c r="M343" i="5"/>
  <c r="N343" i="5" s="1"/>
  <c r="O343" i="5" s="1"/>
  <c r="M342" i="5"/>
  <c r="N342" i="5" s="1"/>
  <c r="O342" i="5" s="1"/>
  <c r="M341" i="5"/>
  <c r="N341" i="5" s="1"/>
  <c r="O341" i="5" s="1"/>
  <c r="M340" i="5"/>
  <c r="N340" i="5" s="1"/>
  <c r="O340" i="5" s="1"/>
  <c r="M339" i="5"/>
  <c r="N339" i="5" s="1"/>
  <c r="O339" i="5" s="1"/>
  <c r="M338" i="5"/>
  <c r="N338" i="5" s="1"/>
  <c r="O338" i="5" s="1"/>
  <c r="M337" i="5"/>
  <c r="N337" i="5" s="1"/>
  <c r="O337" i="5" s="1"/>
  <c r="M336" i="5"/>
  <c r="N336" i="5" s="1"/>
  <c r="O336" i="5" s="1"/>
  <c r="M335" i="5"/>
  <c r="N335" i="5" s="1"/>
  <c r="O335" i="5" s="1"/>
  <c r="M334" i="5"/>
  <c r="N334" i="5" s="1"/>
  <c r="O334" i="5" s="1"/>
  <c r="M333" i="5"/>
  <c r="N333" i="5" s="1"/>
  <c r="O333" i="5" s="1"/>
  <c r="M332" i="5"/>
  <c r="N332" i="5" s="1"/>
  <c r="O332" i="5" s="1"/>
  <c r="M331" i="5"/>
  <c r="N331" i="5" s="1"/>
  <c r="O331" i="5" s="1"/>
  <c r="M330" i="5"/>
  <c r="N330" i="5" s="1"/>
  <c r="O330" i="5" s="1"/>
  <c r="M329" i="5"/>
  <c r="N329" i="5" s="1"/>
  <c r="O329" i="5" s="1"/>
  <c r="M328" i="5"/>
  <c r="N328" i="5" s="1"/>
  <c r="O328" i="5" s="1"/>
  <c r="M327" i="5"/>
  <c r="N327" i="5" s="1"/>
  <c r="O327" i="5" s="1"/>
  <c r="M326" i="5"/>
  <c r="N326" i="5" s="1"/>
  <c r="O326" i="5" s="1"/>
  <c r="M325" i="5"/>
  <c r="N325" i="5" s="1"/>
  <c r="O325" i="5" s="1"/>
  <c r="M324" i="5"/>
  <c r="N324" i="5" s="1"/>
  <c r="O324" i="5" s="1"/>
  <c r="M323" i="5"/>
  <c r="N323" i="5" s="1"/>
  <c r="O323" i="5" s="1"/>
  <c r="M322" i="5"/>
  <c r="N322" i="5" s="1"/>
  <c r="O322" i="5" s="1"/>
  <c r="M321" i="5"/>
  <c r="N321" i="5" s="1"/>
  <c r="O321" i="5" s="1"/>
  <c r="M320" i="5"/>
  <c r="N320" i="5" s="1"/>
  <c r="O320" i="5" s="1"/>
  <c r="M319" i="5"/>
  <c r="N319" i="5" s="1"/>
  <c r="O319" i="5" s="1"/>
  <c r="M318" i="5"/>
  <c r="N318" i="5" s="1"/>
  <c r="O318" i="5" s="1"/>
  <c r="O346" i="5" s="1"/>
  <c r="M244" i="5"/>
  <c r="N244" i="5" s="1"/>
  <c r="O244" i="5" s="1"/>
  <c r="M241" i="5"/>
  <c r="N241" i="5" s="1"/>
  <c r="O241" i="5" s="1"/>
  <c r="M286" i="5"/>
  <c r="N286" i="5" s="1"/>
  <c r="O286" i="5" s="1"/>
  <c r="M285" i="5"/>
  <c r="N285" i="5" s="1"/>
  <c r="O285" i="5" s="1"/>
  <c r="M283" i="5"/>
  <c r="N283" i="5" s="1"/>
  <c r="O283" i="5" s="1"/>
  <c r="M282" i="5"/>
  <c r="N282" i="5" s="1"/>
  <c r="O282" i="5" s="1"/>
  <c r="M281" i="5"/>
  <c r="N281" i="5" s="1"/>
  <c r="O281" i="5" s="1"/>
  <c r="M280" i="5"/>
  <c r="N280" i="5" s="1"/>
  <c r="O280" i="5" s="1"/>
  <c r="M278" i="5"/>
  <c r="N278" i="5" s="1"/>
  <c r="O278" i="5" s="1"/>
  <c r="M277" i="5"/>
  <c r="N277" i="5" s="1"/>
  <c r="O277" i="5" s="1"/>
  <c r="M276" i="5"/>
  <c r="N276" i="5" s="1"/>
  <c r="O276" i="5" s="1"/>
  <c r="M275" i="5"/>
  <c r="N275" i="5" s="1"/>
  <c r="O275" i="5" s="1"/>
  <c r="M274" i="5"/>
  <c r="N274" i="5" s="1"/>
  <c r="O274" i="5" s="1"/>
  <c r="M273" i="5"/>
  <c r="N273" i="5" s="1"/>
  <c r="O273" i="5" s="1"/>
  <c r="M272" i="5"/>
  <c r="N272" i="5" s="1"/>
  <c r="O272" i="5" s="1"/>
  <c r="M271" i="5"/>
  <c r="N271" i="5" s="1"/>
  <c r="O271" i="5" s="1"/>
  <c r="M270" i="5"/>
  <c r="N270" i="5" s="1"/>
  <c r="O270" i="5" s="1"/>
  <c r="M269" i="5"/>
  <c r="N269" i="5" s="1"/>
  <c r="O269" i="5" s="1"/>
  <c r="M268" i="5"/>
  <c r="N268" i="5" s="1"/>
  <c r="O268" i="5" s="1"/>
  <c r="M267" i="5"/>
  <c r="N267" i="5" s="1"/>
  <c r="O267" i="5" s="1"/>
  <c r="M266" i="5"/>
  <c r="N266" i="5" s="1"/>
  <c r="O266" i="5" s="1"/>
  <c r="M265" i="5"/>
  <c r="N265" i="5" s="1"/>
  <c r="O265" i="5" s="1"/>
  <c r="M264" i="5"/>
  <c r="N264" i="5" s="1"/>
  <c r="O264" i="5" s="1"/>
  <c r="M263" i="5"/>
  <c r="N263" i="5" s="1"/>
  <c r="O263" i="5" s="1"/>
  <c r="M262" i="5"/>
  <c r="N262" i="5" s="1"/>
  <c r="O262" i="5" s="1"/>
  <c r="M261" i="5"/>
  <c r="N261" i="5" s="1"/>
  <c r="O261" i="5" s="1"/>
  <c r="M260" i="5"/>
  <c r="N260" i="5" s="1"/>
  <c r="O260" i="5" s="1"/>
  <c r="M259" i="5"/>
  <c r="N259" i="5" s="1"/>
  <c r="O259" i="5" s="1"/>
  <c r="M258" i="5"/>
  <c r="N258" i="5" s="1"/>
  <c r="O258" i="5" s="1"/>
  <c r="M257" i="5"/>
  <c r="N257" i="5" s="1"/>
  <c r="O257" i="5" s="1"/>
  <c r="M256" i="5"/>
  <c r="N256" i="5" s="1"/>
  <c r="O256" i="5" s="1"/>
  <c r="M255" i="5"/>
  <c r="N255" i="5" s="1"/>
  <c r="O255" i="5" s="1"/>
  <c r="M254" i="5"/>
  <c r="N254" i="5" s="1"/>
  <c r="O254" i="5" s="1"/>
  <c r="M253" i="5"/>
  <c r="N253" i="5" s="1"/>
  <c r="O253" i="5" s="1"/>
  <c r="M252" i="5"/>
  <c r="N252" i="5" s="1"/>
  <c r="O252" i="5" s="1"/>
  <c r="M251" i="5"/>
  <c r="N251" i="5" s="1"/>
  <c r="O251" i="5" s="1"/>
  <c r="M250" i="5"/>
  <c r="N250" i="5" s="1"/>
  <c r="O250" i="5" s="1"/>
  <c r="M249" i="5"/>
  <c r="N249" i="5" s="1"/>
  <c r="O249" i="5" s="1"/>
  <c r="M248" i="5"/>
  <c r="N248" i="5" s="1"/>
  <c r="O248" i="5" s="1"/>
  <c r="M247" i="5"/>
  <c r="N247" i="5" s="1"/>
  <c r="O247" i="5" s="1"/>
  <c r="M246" i="5"/>
  <c r="N246" i="5" s="1"/>
  <c r="O246" i="5" s="1"/>
  <c r="M243" i="5"/>
  <c r="N243" i="5" s="1"/>
  <c r="O243" i="5" s="1"/>
  <c r="M242" i="5"/>
  <c r="N242" i="5" s="1"/>
  <c r="O242" i="5" s="1"/>
  <c r="M240" i="5"/>
  <c r="N240" i="5" s="1"/>
  <c r="O240" i="5" s="1"/>
  <c r="M239" i="5"/>
  <c r="N239" i="5" s="1"/>
  <c r="O239" i="5" s="1"/>
  <c r="M238" i="5"/>
  <c r="N238" i="5" s="1"/>
  <c r="O238" i="5" s="1"/>
  <c r="M237" i="5"/>
  <c r="N237" i="5" s="1"/>
  <c r="O237" i="5" s="1"/>
  <c r="M236" i="5"/>
  <c r="N236" i="5" s="1"/>
  <c r="O236" i="5" s="1"/>
  <c r="M235" i="5"/>
  <c r="N235" i="5" s="1"/>
  <c r="O235" i="5" s="1"/>
  <c r="M234" i="5"/>
  <c r="N234" i="5" s="1"/>
  <c r="O234" i="5" s="1"/>
  <c r="M233" i="5"/>
  <c r="N233" i="5" s="1"/>
  <c r="O233" i="5" s="1"/>
  <c r="M232" i="5"/>
  <c r="N232" i="5" s="1"/>
  <c r="O232" i="5" s="1"/>
  <c r="M231" i="5"/>
  <c r="N231" i="5" s="1"/>
  <c r="O231" i="5" s="1"/>
  <c r="M230" i="5"/>
  <c r="N230" i="5" s="1"/>
  <c r="O230" i="5" s="1"/>
  <c r="M229" i="5"/>
  <c r="N229" i="5" s="1"/>
  <c r="O229" i="5" s="1"/>
  <c r="M228" i="5"/>
  <c r="N228" i="5" s="1"/>
  <c r="O228" i="5" s="1"/>
  <c r="M227" i="5"/>
  <c r="N227" i="5" s="1"/>
  <c r="O227" i="5" s="1"/>
  <c r="M226" i="5"/>
  <c r="N226" i="5" s="1"/>
  <c r="O226" i="5" s="1"/>
  <c r="M225" i="5"/>
  <c r="N225" i="5" s="1"/>
  <c r="O225" i="5" s="1"/>
  <c r="M224" i="5"/>
  <c r="N224" i="5" s="1"/>
  <c r="O224" i="5" s="1"/>
  <c r="M223" i="5"/>
  <c r="N223" i="5" s="1"/>
  <c r="O223" i="5" s="1"/>
  <c r="M222" i="5"/>
  <c r="N222" i="5" s="1"/>
  <c r="O222" i="5" s="1"/>
  <c r="M221" i="5"/>
  <c r="N221" i="5" s="1"/>
  <c r="O221" i="5" s="1"/>
  <c r="M220" i="5"/>
  <c r="N220" i="5" s="1"/>
  <c r="O220" i="5" s="1"/>
  <c r="M219" i="5"/>
  <c r="N219" i="5" s="1"/>
  <c r="O219" i="5" s="1"/>
  <c r="M218" i="5"/>
  <c r="N218" i="5" s="1"/>
  <c r="O218" i="5" s="1"/>
  <c r="M217" i="5"/>
  <c r="N217" i="5" s="1"/>
  <c r="O217" i="5" s="1"/>
  <c r="M216" i="5"/>
  <c r="N216" i="5" s="1"/>
  <c r="O216" i="5" s="1"/>
  <c r="M215" i="5"/>
  <c r="N215" i="5" s="1"/>
  <c r="O215" i="5" s="1"/>
  <c r="M214" i="5"/>
  <c r="N214" i="5" s="1"/>
  <c r="O214" i="5" s="1"/>
  <c r="M213" i="5"/>
  <c r="N213" i="5" s="1"/>
  <c r="O213" i="5" s="1"/>
  <c r="M212" i="5"/>
  <c r="N212" i="5" s="1"/>
  <c r="O212" i="5" s="1"/>
  <c r="M211" i="5"/>
  <c r="N211" i="5" s="1"/>
  <c r="O211" i="5" s="1"/>
  <c r="M210" i="5"/>
  <c r="N210" i="5" s="1"/>
  <c r="O210" i="5" s="1"/>
  <c r="M209" i="5"/>
  <c r="N209" i="5" s="1"/>
  <c r="O209" i="5" s="1"/>
  <c r="M208" i="5"/>
  <c r="N208" i="5" s="1"/>
  <c r="O208" i="5" s="1"/>
  <c r="M207" i="5"/>
  <c r="N207" i="5" s="1"/>
  <c r="O207" i="5" s="1"/>
  <c r="M206" i="5"/>
  <c r="N206" i="5" s="1"/>
  <c r="O206" i="5" s="1"/>
  <c r="M205" i="5"/>
  <c r="N205" i="5" s="1"/>
  <c r="O205" i="5" s="1"/>
  <c r="M204" i="5"/>
  <c r="N204" i="5" s="1"/>
  <c r="O204" i="5" s="1"/>
  <c r="M203" i="5"/>
  <c r="N203" i="5" s="1"/>
  <c r="O203" i="5" s="1"/>
  <c r="M202" i="5"/>
  <c r="N202" i="5" s="1"/>
  <c r="O202" i="5" s="1"/>
  <c r="M201" i="5"/>
  <c r="N201" i="5" s="1"/>
  <c r="O201" i="5" s="1"/>
  <c r="M200" i="5"/>
  <c r="N200" i="5" s="1"/>
  <c r="O200" i="5" s="1"/>
  <c r="M199" i="5"/>
  <c r="N199" i="5" s="1"/>
  <c r="O199" i="5" s="1"/>
  <c r="M198" i="5"/>
  <c r="N198" i="5" s="1"/>
  <c r="O198" i="5" s="1"/>
  <c r="M197" i="5"/>
  <c r="N197" i="5" s="1"/>
  <c r="O197" i="5" s="1"/>
  <c r="M196" i="5"/>
  <c r="N196" i="5" s="1"/>
  <c r="O196" i="5" s="1"/>
  <c r="M195" i="5"/>
  <c r="N195" i="5" s="1"/>
  <c r="O195" i="5" s="1"/>
  <c r="M194" i="5"/>
  <c r="N194" i="5" s="1"/>
  <c r="O194" i="5" s="1"/>
  <c r="M193" i="5"/>
  <c r="N193" i="5" s="1"/>
  <c r="O193" i="5" s="1"/>
  <c r="M192" i="5"/>
  <c r="N192" i="5" s="1"/>
  <c r="O192" i="5" s="1"/>
  <c r="M191" i="5"/>
  <c r="N191" i="5" s="1"/>
  <c r="O191" i="5" s="1"/>
  <c r="M190" i="5"/>
  <c r="N190" i="5" s="1"/>
  <c r="O190" i="5" s="1"/>
  <c r="M189" i="5"/>
  <c r="N189" i="5" s="1"/>
  <c r="O189" i="5" s="1"/>
  <c r="M188" i="5"/>
  <c r="N188" i="5" s="1"/>
  <c r="O188" i="5" s="1"/>
  <c r="M187" i="5"/>
  <c r="N187" i="5" s="1"/>
  <c r="O187" i="5" s="1"/>
  <c r="M186" i="5"/>
  <c r="N186" i="5" s="1"/>
  <c r="O186" i="5" s="1"/>
  <c r="M185" i="5"/>
  <c r="N185" i="5" s="1"/>
  <c r="O185" i="5" s="1"/>
  <c r="M184" i="5"/>
  <c r="N184" i="5" s="1"/>
  <c r="O184" i="5" s="1"/>
  <c r="M183" i="5"/>
  <c r="N183" i="5" s="1"/>
  <c r="O183" i="5" s="1"/>
  <c r="M182" i="5"/>
  <c r="N182" i="5" s="1"/>
  <c r="O182" i="5" s="1"/>
  <c r="M181" i="5"/>
  <c r="N181" i="5" s="1"/>
  <c r="O181" i="5" s="1"/>
  <c r="M180" i="5"/>
  <c r="N180" i="5" s="1"/>
  <c r="O180" i="5" s="1"/>
  <c r="M179" i="5"/>
  <c r="N179" i="5" s="1"/>
  <c r="O179" i="5" s="1"/>
  <c r="M178" i="5"/>
  <c r="N178" i="5" s="1"/>
  <c r="O178" i="5" s="1"/>
  <c r="M177" i="5"/>
  <c r="N177" i="5" s="1"/>
  <c r="O177" i="5" s="1"/>
  <c r="M176" i="5"/>
  <c r="N176" i="5" s="1"/>
  <c r="O176" i="5" s="1"/>
  <c r="M175" i="5"/>
  <c r="N175" i="5" s="1"/>
  <c r="O175" i="5" s="1"/>
  <c r="M174" i="5"/>
  <c r="N174" i="5" s="1"/>
  <c r="O174" i="5" s="1"/>
  <c r="M173" i="5"/>
  <c r="N173" i="5" s="1"/>
  <c r="O173" i="5" s="1"/>
  <c r="M172" i="5"/>
  <c r="N172" i="5" s="1"/>
  <c r="O172" i="5" s="1"/>
  <c r="M171" i="5"/>
  <c r="N171" i="5" s="1"/>
  <c r="O171" i="5" s="1"/>
  <c r="M170" i="5"/>
  <c r="N170" i="5" s="1"/>
  <c r="O170" i="5" s="1"/>
  <c r="M169" i="5"/>
  <c r="N169" i="5" s="1"/>
  <c r="O169" i="5" s="1"/>
  <c r="M168" i="5"/>
  <c r="N168" i="5" s="1"/>
  <c r="O168" i="5" s="1"/>
  <c r="M167" i="5"/>
  <c r="N167" i="5" s="1"/>
  <c r="O167" i="5" s="1"/>
  <c r="M166" i="5"/>
  <c r="N166" i="5" s="1"/>
  <c r="O166" i="5" s="1"/>
  <c r="M165" i="5"/>
  <c r="N165" i="5" s="1"/>
  <c r="O165" i="5" s="1"/>
  <c r="M164" i="5"/>
  <c r="N164" i="5" s="1"/>
  <c r="O164" i="5" s="1"/>
  <c r="M163" i="5"/>
  <c r="N163" i="5" s="1"/>
  <c r="O163" i="5" s="1"/>
  <c r="M162" i="5"/>
  <c r="N162" i="5" s="1"/>
  <c r="M161" i="5"/>
  <c r="N161" i="5" s="1"/>
  <c r="O161" i="5" s="1"/>
  <c r="M160" i="5"/>
  <c r="N160" i="5" s="1"/>
  <c r="O160" i="5" s="1"/>
  <c r="M159" i="5"/>
  <c r="N159" i="5" s="1"/>
  <c r="O159" i="5" s="1"/>
  <c r="M158" i="5"/>
  <c r="N158" i="5" s="1"/>
  <c r="O158" i="5" s="1"/>
  <c r="M157" i="5"/>
  <c r="N157" i="5" s="1"/>
  <c r="O157" i="5" s="1"/>
  <c r="M156" i="5"/>
  <c r="N156" i="5" s="1"/>
  <c r="O156" i="5" s="1"/>
  <c r="M155" i="5"/>
  <c r="N155" i="5" s="1"/>
  <c r="O155" i="5" s="1"/>
  <c r="M154" i="5"/>
  <c r="N154" i="5" s="1"/>
  <c r="O154" i="5" s="1"/>
  <c r="M153" i="5"/>
  <c r="N153" i="5" s="1"/>
  <c r="O153" i="5" s="1"/>
  <c r="M152" i="5"/>
  <c r="N152" i="5" s="1"/>
  <c r="O152" i="5" s="1"/>
  <c r="M151" i="5"/>
  <c r="N151" i="5" s="1"/>
  <c r="O151" i="5" s="1"/>
  <c r="M150" i="5"/>
  <c r="N150" i="5" s="1"/>
  <c r="O150" i="5" s="1"/>
  <c r="M149" i="5"/>
  <c r="N149" i="5" s="1"/>
  <c r="O149" i="5" s="1"/>
  <c r="M148" i="5"/>
  <c r="N148" i="5" s="1"/>
  <c r="O148" i="5" s="1"/>
  <c r="M147" i="5"/>
  <c r="N147" i="5" s="1"/>
  <c r="O147" i="5" s="1"/>
  <c r="M146" i="5"/>
  <c r="N146" i="5" s="1"/>
  <c r="O146" i="5" s="1"/>
  <c r="M145" i="5"/>
  <c r="N145" i="5" s="1"/>
  <c r="O145" i="5" s="1"/>
  <c r="M144" i="5"/>
  <c r="N144" i="5" s="1"/>
  <c r="O144" i="5" s="1"/>
  <c r="M143" i="5"/>
  <c r="N143" i="5" s="1"/>
  <c r="O143" i="5" s="1"/>
  <c r="M141" i="5"/>
  <c r="N141" i="5" s="1"/>
  <c r="O141" i="5" s="1"/>
  <c r="A141" i="5"/>
  <c r="A143" i="5" s="1"/>
  <c r="A144" i="5" s="1"/>
  <c r="A145" i="5" s="1"/>
  <c r="A146" i="5" s="1"/>
  <c r="A147" i="5" s="1"/>
  <c r="A148" i="5" s="1"/>
  <c r="A149" i="5" s="1"/>
  <c r="A150" i="5" s="1"/>
  <c r="A151" i="5" s="1"/>
  <c r="A152" i="5" s="1"/>
  <c r="A153" i="5" s="1"/>
  <c r="A154" i="5" s="1"/>
  <c r="A155" i="5" s="1"/>
  <c r="A156" i="5" s="1"/>
  <c r="A157" i="5" s="1"/>
  <c r="A158" i="5" s="1"/>
  <c r="A160" i="5" s="1"/>
  <c r="A161" i="5" s="1"/>
  <c r="A162" i="5" s="1"/>
  <c r="A163" i="5" s="1"/>
  <c r="A164" i="5" s="1"/>
  <c r="A165" i="5" s="1"/>
  <c r="A166" i="5" s="1"/>
  <c r="A167" i="5" s="1"/>
  <c r="A168" i="5" s="1"/>
  <c r="A169" i="5" s="1"/>
  <c r="A170" i="5" s="1"/>
  <c r="A171" i="5" s="1"/>
  <c r="A172" i="5" s="1"/>
  <c r="A173" i="5" s="1"/>
  <c r="A174" i="5" s="1"/>
  <c r="A176" i="5" s="1"/>
  <c r="A178" i="5" s="1"/>
  <c r="A179" i="5" s="1"/>
  <c r="A180" i="5" s="1"/>
  <c r="A181" i="5" s="1"/>
  <c r="A182" i="5" s="1"/>
  <c r="A184" i="5" s="1"/>
  <c r="M140" i="5"/>
  <c r="N140" i="5" s="1"/>
  <c r="O140" i="5" s="1"/>
  <c r="N291" i="5"/>
  <c r="O291" i="5" s="1"/>
  <c r="A292" i="5"/>
  <c r="A293" i="5" s="1"/>
  <c r="M292" i="5"/>
  <c r="N292" i="5" s="1"/>
  <c r="O292" i="5" s="1"/>
  <c r="M293" i="5"/>
  <c r="N293" i="5" s="1"/>
  <c r="O293" i="5" s="1"/>
  <c r="N346" i="5" l="1"/>
  <c r="N287" i="5"/>
  <c r="O162" i="5"/>
  <c r="O287" i="5" s="1"/>
  <c r="K47" i="6" l="1"/>
  <c r="L47" i="6" s="1"/>
  <c r="K46" i="6"/>
  <c r="L46" i="6" s="1"/>
  <c r="K45" i="6"/>
  <c r="L45" i="6" s="1"/>
  <c r="K44" i="6"/>
  <c r="L44" i="6" s="1"/>
  <c r="K43" i="6"/>
  <c r="L43" i="6" s="1"/>
  <c r="K42" i="6"/>
  <c r="L42" i="6" s="1"/>
  <c r="K41" i="6"/>
  <c r="L41" i="6" s="1"/>
  <c r="K40" i="6"/>
  <c r="L40" i="6" s="1"/>
  <c r="K39" i="6"/>
  <c r="L39" i="6" s="1"/>
  <c r="K38" i="6"/>
  <c r="L38" i="6" s="1"/>
  <c r="K37" i="6"/>
  <c r="L37" i="6" s="1"/>
  <c r="K36" i="6"/>
  <c r="L36" i="6" s="1"/>
  <c r="K35" i="6"/>
  <c r="L35" i="6" s="1"/>
  <c r="K34" i="6"/>
  <c r="L34" i="6" s="1"/>
  <c r="K32" i="6"/>
  <c r="L32" i="6" s="1"/>
  <c r="K31" i="6"/>
  <c r="L31" i="6" s="1"/>
  <c r="K30" i="6"/>
  <c r="L30" i="6" s="1"/>
  <c r="K29" i="6"/>
  <c r="L29" i="6" s="1"/>
  <c r="K28" i="6"/>
  <c r="L28" i="6" s="1"/>
  <c r="K27" i="6"/>
  <c r="L27" i="6" s="1"/>
  <c r="K26" i="6"/>
  <c r="L26" i="6" s="1"/>
  <c r="K25" i="6"/>
  <c r="L25" i="6" s="1"/>
  <c r="K24" i="6"/>
  <c r="L24" i="6" s="1"/>
  <c r="K23" i="6"/>
  <c r="L23" i="6" s="1"/>
  <c r="K22" i="6"/>
  <c r="L22" i="6" s="1"/>
  <c r="K21" i="6"/>
  <c r="L21" i="6" s="1"/>
  <c r="K20" i="6"/>
  <c r="L20" i="6" s="1"/>
  <c r="K19" i="6"/>
  <c r="L19" i="6" s="1"/>
  <c r="K18" i="6"/>
  <c r="L18" i="6" s="1"/>
  <c r="K17" i="6"/>
  <c r="L17" i="6" s="1"/>
  <c r="K16" i="6"/>
  <c r="L16" i="6" s="1"/>
  <c r="K15" i="6"/>
  <c r="L15" i="6" s="1"/>
  <c r="K14" i="6"/>
  <c r="L14" i="6" s="1"/>
  <c r="K13" i="6"/>
  <c r="L13" i="6" s="1"/>
  <c r="K12" i="6"/>
  <c r="L12" i="6" s="1"/>
  <c r="K85" i="6"/>
  <c r="L85" i="6" s="1"/>
  <c r="A86" i="6"/>
  <c r="A87" i="6" s="1"/>
  <c r="A88" i="6" s="1"/>
  <c r="A89" i="6" s="1"/>
  <c r="A90" i="6" s="1"/>
  <c r="A91" i="6" s="1"/>
  <c r="A92" i="6" s="1"/>
  <c r="A93" i="6" s="1"/>
  <c r="A94" i="6" s="1"/>
  <c r="A95" i="6" s="1"/>
  <c r="A96" i="6" s="1"/>
  <c r="A97" i="6" s="1"/>
  <c r="A98" i="6" s="1"/>
  <c r="A99" i="6" s="1"/>
  <c r="A100" i="6" s="1"/>
  <c r="A101" i="6" s="1"/>
  <c r="A102" i="6" s="1"/>
  <c r="A103" i="6" s="1"/>
  <c r="A104" i="6" s="1"/>
  <c r="A105" i="6" s="1"/>
  <c r="A106" i="6" s="1"/>
  <c r="K86" i="6"/>
  <c r="L86" i="6" s="1"/>
  <c r="K87" i="6"/>
  <c r="L87" i="6" s="1"/>
  <c r="K88" i="6"/>
  <c r="L88" i="6" s="1"/>
  <c r="K89" i="6"/>
  <c r="L89" i="6" s="1"/>
  <c r="K90" i="6"/>
  <c r="L90" i="6" s="1"/>
  <c r="K91" i="6"/>
  <c r="L91" i="6" s="1"/>
  <c r="K92" i="6"/>
  <c r="L92" i="6" s="1"/>
  <c r="K93" i="6"/>
  <c r="L93" i="6" s="1"/>
  <c r="K94" i="6"/>
  <c r="L94" i="6" s="1"/>
  <c r="K95" i="6"/>
  <c r="L95" i="6" s="1"/>
  <c r="K96" i="6"/>
  <c r="L96" i="6" s="1"/>
  <c r="K97" i="6"/>
  <c r="L97" i="6" s="1"/>
  <c r="K98" i="6"/>
  <c r="L98" i="6" s="1"/>
  <c r="K99" i="6"/>
  <c r="L99" i="6" s="1"/>
  <c r="K100" i="6"/>
  <c r="L100" i="6" s="1"/>
  <c r="K101" i="6"/>
  <c r="L101" i="6" s="1"/>
  <c r="K102" i="6"/>
  <c r="L102" i="6" s="1"/>
  <c r="K103" i="6"/>
  <c r="L103" i="6" s="1"/>
  <c r="K104" i="6"/>
  <c r="L104" i="6" s="1"/>
  <c r="K105" i="6"/>
  <c r="L105" i="6" s="1"/>
  <c r="K106" i="6"/>
  <c r="L106" i="6" s="1"/>
  <c r="M315" i="5"/>
  <c r="N315" i="5" s="1"/>
  <c r="O315" i="5" s="1"/>
  <c r="M314" i="5"/>
  <c r="N314" i="5" s="1"/>
  <c r="O314" i="5" s="1"/>
  <c r="M313" i="5"/>
  <c r="N313" i="5" s="1"/>
  <c r="O313" i="5" s="1"/>
  <c r="M312" i="5"/>
  <c r="N312" i="5" s="1"/>
  <c r="O312" i="5" s="1"/>
  <c r="M311" i="5"/>
  <c r="N311" i="5" s="1"/>
  <c r="O311" i="5" s="1"/>
  <c r="M310" i="5"/>
  <c r="N310" i="5" s="1"/>
  <c r="O310" i="5" s="1"/>
  <c r="M309" i="5"/>
  <c r="N309" i="5" s="1"/>
  <c r="O309" i="5" s="1"/>
  <c r="M308" i="5"/>
  <c r="N308" i="5" s="1"/>
  <c r="O308" i="5" s="1"/>
  <c r="M307" i="5"/>
  <c r="N307" i="5" s="1"/>
  <c r="O307" i="5" s="1"/>
  <c r="M306" i="5"/>
  <c r="N306" i="5" s="1"/>
  <c r="O306" i="5" s="1"/>
  <c r="M132" i="5"/>
  <c r="N132" i="5" s="1"/>
  <c r="O132" i="5" s="1"/>
  <c r="M131" i="5"/>
  <c r="N131" i="5" s="1"/>
  <c r="O131" i="5" s="1"/>
  <c r="M130" i="5"/>
  <c r="N130" i="5" s="1"/>
  <c r="O130" i="5" s="1"/>
  <c r="M129" i="5"/>
  <c r="N129" i="5" s="1"/>
  <c r="O129" i="5" s="1"/>
  <c r="M128" i="5"/>
  <c r="N128" i="5" s="1"/>
  <c r="O128" i="5" s="1"/>
  <c r="M127" i="5"/>
  <c r="N127" i="5" s="1"/>
  <c r="O127" i="5" s="1"/>
  <c r="M122" i="5"/>
  <c r="N122" i="5" s="1"/>
  <c r="O122" i="5" s="1"/>
  <c r="M97" i="5"/>
  <c r="N97" i="5" s="1"/>
  <c r="O97" i="5" s="1"/>
  <c r="M88" i="5"/>
  <c r="N88" i="5" s="1"/>
  <c r="O88" i="5" s="1"/>
  <c r="A294" i="5" l="1"/>
  <c r="A295" i="5" s="1"/>
  <c r="A14" i="5"/>
  <c r="A16" i="5" s="1"/>
  <c r="A17" i="5" s="1"/>
  <c r="A18" i="5" s="1"/>
  <c r="A19" i="5" s="1"/>
  <c r="A20" i="5" s="1"/>
  <c r="A21" i="5" s="1"/>
  <c r="A22" i="5" s="1"/>
  <c r="A23" i="5" s="1"/>
  <c r="A24" i="5" s="1"/>
  <c r="A26" i="5" s="1"/>
  <c r="A27" i="5" s="1"/>
  <c r="A28" i="5" s="1"/>
  <c r="A29" i="5" s="1"/>
  <c r="A30" i="5" s="1"/>
  <c r="A31" i="5" s="1"/>
  <c r="A33" i="5" s="1"/>
  <c r="A34" i="5" s="1"/>
  <c r="A35" i="5" s="1"/>
  <c r="A36" i="5" s="1"/>
  <c r="A37" i="5" s="1"/>
  <c r="A38" i="5" s="1"/>
  <c r="A39" i="5" s="1"/>
  <c r="A40" i="5" s="1"/>
  <c r="A41" i="5" s="1"/>
  <c r="A42" i="5" s="1"/>
  <c r="A43" i="5" s="1"/>
  <c r="A44" i="5" s="1"/>
  <c r="A45" i="5" s="1"/>
  <c r="A46" i="5" s="1"/>
  <c r="A47" i="5" s="1"/>
  <c r="A49" i="5" s="1"/>
  <c r="A51" i="5" s="1"/>
  <c r="A52" i="5" s="1"/>
  <c r="A53" i="5" s="1"/>
  <c r="A54" i="5" s="1"/>
  <c r="A55" i="5" s="1"/>
  <c r="A57" i="5" s="1"/>
  <c r="A58" i="5" s="1"/>
  <c r="A59" i="5" s="1"/>
  <c r="A60" i="5" s="1"/>
  <c r="A61" i="5" s="1"/>
  <c r="A62" i="5" s="1"/>
  <c r="A63" i="5" s="1"/>
  <c r="A64" i="5" s="1"/>
  <c r="A65" i="5" s="1"/>
  <c r="A67" i="5" s="1"/>
  <c r="A68" i="5" s="1"/>
  <c r="A69" i="5" s="1"/>
  <c r="A71" i="5" s="1"/>
  <c r="M300" i="5"/>
  <c r="N300" i="5" s="1"/>
  <c r="O300" i="5" s="1"/>
  <c r="M136" i="5"/>
  <c r="N136" i="5" s="1"/>
  <c r="O136" i="5" s="1"/>
  <c r="M14" i="5"/>
  <c r="N14" i="5" s="1"/>
  <c r="O14" i="5" s="1"/>
  <c r="M16" i="5"/>
  <c r="N16" i="5" s="1"/>
  <c r="O16" i="5" s="1"/>
  <c r="M17" i="5"/>
  <c r="N17" i="5" s="1"/>
  <c r="O17" i="5" s="1"/>
  <c r="M18" i="5"/>
  <c r="N18" i="5" s="1"/>
  <c r="O18" i="5" s="1"/>
  <c r="M19" i="5"/>
  <c r="N19" i="5" s="1"/>
  <c r="O19" i="5" s="1"/>
  <c r="M20" i="5"/>
  <c r="N20" i="5" s="1"/>
  <c r="O20" i="5" s="1"/>
  <c r="M21" i="5"/>
  <c r="N21" i="5" s="1"/>
  <c r="O21" i="5" s="1"/>
  <c r="M22" i="5"/>
  <c r="N22" i="5" s="1"/>
  <c r="O22" i="5" s="1"/>
  <c r="M23" i="5"/>
  <c r="N23" i="5" s="1"/>
  <c r="O23" i="5" s="1"/>
  <c r="M24" i="5"/>
  <c r="N24" i="5" s="1"/>
  <c r="O24" i="5" s="1"/>
  <c r="M26" i="5"/>
  <c r="N26" i="5" s="1"/>
  <c r="O26" i="5" s="1"/>
  <c r="M27" i="5"/>
  <c r="N27" i="5" s="1"/>
  <c r="O27" i="5" s="1"/>
  <c r="M28" i="5"/>
  <c r="N28" i="5" s="1"/>
  <c r="O28" i="5" s="1"/>
  <c r="M29" i="5"/>
  <c r="N29" i="5" s="1"/>
  <c r="O29" i="5" s="1"/>
  <c r="M30" i="5"/>
  <c r="N30" i="5" s="1"/>
  <c r="O30" i="5" s="1"/>
  <c r="M31" i="5"/>
  <c r="N31" i="5" s="1"/>
  <c r="O31" i="5" s="1"/>
  <c r="M34" i="5"/>
  <c r="N34" i="5" s="1"/>
  <c r="O34" i="5" s="1"/>
  <c r="M35" i="5"/>
  <c r="N35" i="5" s="1"/>
  <c r="O35" i="5" s="1"/>
  <c r="M36" i="5"/>
  <c r="N36" i="5" s="1"/>
  <c r="O36" i="5" s="1"/>
  <c r="M37" i="5"/>
  <c r="N37" i="5" s="1"/>
  <c r="O37" i="5" s="1"/>
  <c r="M38" i="5"/>
  <c r="N38" i="5" s="1"/>
  <c r="O38" i="5" s="1"/>
  <c r="M39" i="5"/>
  <c r="N39" i="5" s="1"/>
  <c r="O39" i="5" s="1"/>
  <c r="M40" i="5"/>
  <c r="N40" i="5" s="1"/>
  <c r="O40" i="5" s="1"/>
  <c r="M41" i="5"/>
  <c r="N41" i="5" s="1"/>
  <c r="O41" i="5" s="1"/>
  <c r="M42" i="5"/>
  <c r="N42" i="5" s="1"/>
  <c r="O42" i="5" s="1"/>
  <c r="M43" i="5"/>
  <c r="N43" i="5" s="1"/>
  <c r="O43" i="5" s="1"/>
  <c r="M44" i="5"/>
  <c r="N44" i="5" s="1"/>
  <c r="O44" i="5" s="1"/>
  <c r="M45" i="5"/>
  <c r="N45" i="5" s="1"/>
  <c r="O45" i="5" s="1"/>
  <c r="M46" i="5"/>
  <c r="N46" i="5" s="1"/>
  <c r="O46" i="5" s="1"/>
  <c r="M47" i="5"/>
  <c r="N47" i="5" s="1"/>
  <c r="O47" i="5" s="1"/>
  <c r="M48" i="5"/>
  <c r="N48" i="5" s="1"/>
  <c r="O48" i="5" s="1"/>
  <c r="M49" i="5"/>
  <c r="N49" i="5" s="1"/>
  <c r="O49" i="5" s="1"/>
  <c r="M51" i="5"/>
  <c r="N51" i="5" s="1"/>
  <c r="O51" i="5" s="1"/>
  <c r="M52" i="5"/>
  <c r="N52" i="5" s="1"/>
  <c r="O52" i="5" s="1"/>
  <c r="M53" i="5"/>
  <c r="N53" i="5" s="1"/>
  <c r="O53" i="5" s="1"/>
  <c r="M54" i="5"/>
  <c r="N54" i="5" s="1"/>
  <c r="O54" i="5" s="1"/>
  <c r="M55" i="5"/>
  <c r="N55" i="5" s="1"/>
  <c r="O55" i="5" s="1"/>
  <c r="M57" i="5"/>
  <c r="N57" i="5" s="1"/>
  <c r="O57" i="5" s="1"/>
  <c r="M58" i="5"/>
  <c r="N58" i="5" s="1"/>
  <c r="O58" i="5" s="1"/>
  <c r="M59" i="5"/>
  <c r="N59" i="5" s="1"/>
  <c r="O59" i="5" s="1"/>
  <c r="M60" i="5"/>
  <c r="N60" i="5" s="1"/>
  <c r="O60" i="5" s="1"/>
  <c r="M61" i="5"/>
  <c r="N61" i="5" s="1"/>
  <c r="O61" i="5" s="1"/>
  <c r="M62" i="5"/>
  <c r="N62" i="5" s="1"/>
  <c r="O62" i="5" s="1"/>
  <c r="M63" i="5"/>
  <c r="N63" i="5" s="1"/>
  <c r="O63" i="5" s="1"/>
  <c r="M64" i="5"/>
  <c r="N64" i="5" s="1"/>
  <c r="O64" i="5" s="1"/>
  <c r="M65" i="5"/>
  <c r="N65" i="5" s="1"/>
  <c r="O65" i="5" s="1"/>
  <c r="M67" i="5"/>
  <c r="N67" i="5" s="1"/>
  <c r="O67" i="5" s="1"/>
  <c r="M68" i="5"/>
  <c r="N68" i="5" s="1"/>
  <c r="O68" i="5" s="1"/>
  <c r="M69" i="5"/>
  <c r="N69" i="5" s="1"/>
  <c r="O69" i="5" s="1"/>
  <c r="M71" i="5"/>
  <c r="N71" i="5" s="1"/>
  <c r="O71" i="5" s="1"/>
  <c r="M72" i="5"/>
  <c r="N72" i="5" s="1"/>
  <c r="O72" i="5" s="1"/>
  <c r="M73" i="5"/>
  <c r="N73" i="5" s="1"/>
  <c r="O73" i="5" s="1"/>
  <c r="M74" i="5"/>
  <c r="N74" i="5" s="1"/>
  <c r="O74" i="5" s="1"/>
  <c r="M75" i="5"/>
  <c r="N75" i="5" s="1"/>
  <c r="O75" i="5" s="1"/>
  <c r="M77" i="5"/>
  <c r="N77" i="5" s="1"/>
  <c r="O77" i="5" s="1"/>
  <c r="M79" i="5"/>
  <c r="N79" i="5" s="1"/>
  <c r="O79" i="5" s="1"/>
  <c r="M81" i="5"/>
  <c r="N81" i="5" s="1"/>
  <c r="O81" i="5" s="1"/>
  <c r="M82" i="5"/>
  <c r="N82" i="5" s="1"/>
  <c r="O82" i="5" s="1"/>
  <c r="M83" i="5"/>
  <c r="N83" i="5" s="1"/>
  <c r="O83" i="5" s="1"/>
  <c r="M84" i="5"/>
  <c r="N84" i="5" s="1"/>
  <c r="O84" i="5" s="1"/>
  <c r="M85" i="5"/>
  <c r="N85" i="5" s="1"/>
  <c r="O85" i="5" s="1"/>
  <c r="M86" i="5"/>
  <c r="N86" i="5" s="1"/>
  <c r="O86" i="5" s="1"/>
  <c r="M87" i="5"/>
  <c r="N87" i="5" s="1"/>
  <c r="O87" i="5" s="1"/>
  <c r="M90" i="5"/>
  <c r="N90" i="5" s="1"/>
  <c r="O90" i="5" s="1"/>
  <c r="M91" i="5"/>
  <c r="N91" i="5" s="1"/>
  <c r="O91" i="5" s="1"/>
  <c r="M92" i="5"/>
  <c r="N92" i="5" s="1"/>
  <c r="O92" i="5" s="1"/>
  <c r="M93" i="5"/>
  <c r="N93" i="5" s="1"/>
  <c r="O93" i="5" s="1"/>
  <c r="M94" i="5"/>
  <c r="N94" i="5" s="1"/>
  <c r="O94" i="5" s="1"/>
  <c r="M95" i="5"/>
  <c r="N95" i="5" s="1"/>
  <c r="O95" i="5" s="1"/>
  <c r="M96" i="5"/>
  <c r="N96" i="5" s="1"/>
  <c r="O96" i="5" s="1"/>
  <c r="M98" i="5"/>
  <c r="N98" i="5" s="1"/>
  <c r="O98" i="5" s="1"/>
  <c r="M99" i="5"/>
  <c r="N99" i="5" s="1"/>
  <c r="O99" i="5" s="1"/>
  <c r="M100" i="5"/>
  <c r="N100" i="5" s="1"/>
  <c r="O100" i="5" s="1"/>
  <c r="M101" i="5"/>
  <c r="N101" i="5" s="1"/>
  <c r="O101" i="5" s="1"/>
  <c r="M103" i="5"/>
  <c r="N103" i="5" s="1"/>
  <c r="O103" i="5" s="1"/>
  <c r="M106" i="5"/>
  <c r="N106" i="5" s="1"/>
  <c r="O106" i="5" s="1"/>
  <c r="M108" i="5"/>
  <c r="N108" i="5" s="1"/>
  <c r="O108" i="5" s="1"/>
  <c r="M109" i="5"/>
  <c r="N109" i="5" s="1"/>
  <c r="O109" i="5" s="1"/>
  <c r="M110" i="5"/>
  <c r="N110" i="5" s="1"/>
  <c r="O110" i="5" s="1"/>
  <c r="M111" i="5"/>
  <c r="N111" i="5" s="1"/>
  <c r="O111" i="5" s="1"/>
  <c r="M113" i="5"/>
  <c r="N113" i="5" s="1"/>
  <c r="O113" i="5" s="1"/>
  <c r="M114" i="5"/>
  <c r="N114" i="5" s="1"/>
  <c r="O114" i="5" s="1"/>
  <c r="M115" i="5"/>
  <c r="N115" i="5" s="1"/>
  <c r="O115" i="5" s="1"/>
  <c r="M116" i="5"/>
  <c r="N116" i="5" s="1"/>
  <c r="O116" i="5" s="1"/>
  <c r="M117" i="5"/>
  <c r="N117" i="5" s="1"/>
  <c r="O117" i="5" s="1"/>
  <c r="M118" i="5"/>
  <c r="N118" i="5" s="1"/>
  <c r="O118" i="5" s="1"/>
  <c r="M120" i="5"/>
  <c r="N120" i="5" s="1"/>
  <c r="O120" i="5" s="1"/>
  <c r="M123" i="5"/>
  <c r="N123" i="5" s="1"/>
  <c r="O123" i="5" s="1"/>
  <c r="M124" i="5"/>
  <c r="N124" i="5" s="1"/>
  <c r="O124" i="5" s="1"/>
  <c r="M125" i="5"/>
  <c r="N125" i="5" s="1"/>
  <c r="O125" i="5" s="1"/>
  <c r="M134" i="5"/>
  <c r="N134" i="5" s="1"/>
  <c r="O134" i="5" s="1"/>
  <c r="M135" i="5"/>
  <c r="N135" i="5" s="1"/>
  <c r="O135" i="5" s="1"/>
  <c r="M296" i="5"/>
  <c r="N296" i="5" s="1"/>
  <c r="O296" i="5" s="1"/>
  <c r="M305" i="5"/>
  <c r="N305" i="5" s="1"/>
  <c r="O305" i="5" s="1"/>
  <c r="M304" i="5"/>
  <c r="N304" i="5" s="1"/>
  <c r="O304" i="5" s="1"/>
  <c r="M303" i="5"/>
  <c r="N303" i="5" s="1"/>
  <c r="O303" i="5" s="1"/>
  <c r="M302" i="5"/>
  <c r="N302" i="5" s="1"/>
  <c r="O302" i="5" s="1"/>
  <c r="M301" i="5"/>
  <c r="N301" i="5" s="1"/>
  <c r="O301" i="5" s="1"/>
  <c r="M299" i="5"/>
  <c r="N299" i="5" s="1"/>
  <c r="O299" i="5" s="1"/>
  <c r="M298" i="5"/>
  <c r="N298" i="5" s="1"/>
  <c r="O298" i="5" s="1"/>
  <c r="M297" i="5"/>
  <c r="N297" i="5" s="1"/>
  <c r="O297" i="5" s="1"/>
  <c r="M295" i="5"/>
  <c r="N295" i="5" s="1"/>
  <c r="O295" i="5" s="1"/>
  <c r="M294" i="5"/>
  <c r="N294" i="5" s="1"/>
  <c r="O294" i="5" s="1"/>
  <c r="A296" i="5" l="1"/>
  <c r="A297" i="5" s="1"/>
  <c r="A298" i="5" s="1"/>
  <c r="A299" i="5" s="1"/>
  <c r="A300" i="5" s="1"/>
  <c r="A72" i="5"/>
  <c r="A73" i="5" s="1"/>
  <c r="A74" i="5" s="1"/>
  <c r="A75" i="5" s="1"/>
  <c r="A76" i="5" s="1"/>
  <c r="A77" i="5" s="1"/>
  <c r="K11" i="6"/>
  <c r="K48" i="6" s="1"/>
  <c r="N11" i="6"/>
  <c r="O11" i="6" s="1"/>
  <c r="A301" i="5" l="1"/>
  <c r="A302" i="5" s="1"/>
  <c r="A303" i="5" s="1"/>
  <c r="A304" i="5" s="1"/>
  <c r="A305" i="5" s="1"/>
  <c r="A306" i="5" s="1"/>
  <c r="A307" i="5" s="1"/>
  <c r="A308" i="5" s="1"/>
  <c r="A309" i="5" s="1"/>
  <c r="A310" i="5" s="1"/>
  <c r="A311" i="5" s="1"/>
  <c r="A312" i="5" s="1"/>
  <c r="A313" i="5" s="1"/>
  <c r="A314" i="5" s="1"/>
  <c r="A315" i="5" s="1"/>
  <c r="A79" i="5"/>
  <c r="A80" i="5" s="1"/>
  <c r="L11" i="6"/>
  <c r="L48" i="6" s="1"/>
  <c r="A81" i="5" l="1"/>
  <c r="A82" i="5" s="1"/>
  <c r="A83" i="5" s="1"/>
  <c r="A84" i="5" s="1"/>
  <c r="A85" i="5" s="1"/>
  <c r="A86" i="5" s="1"/>
  <c r="A87" i="5" s="1"/>
  <c r="A88" i="5" s="1"/>
  <c r="A90" i="5" s="1"/>
  <c r="A91" i="5" s="1"/>
  <c r="A92" i="5" s="1"/>
  <c r="A93" i="5" s="1"/>
  <c r="A94" i="5" s="1"/>
  <c r="A95" i="5" s="1"/>
  <c r="A96" i="5" s="1"/>
  <c r="A97" i="5" s="1"/>
  <c r="A98" i="5" s="1"/>
  <c r="A99" i="5" s="1"/>
  <c r="A100" i="5" s="1"/>
  <c r="A101" i="5" s="1"/>
  <c r="O316" i="5"/>
  <c r="N316" i="5"/>
  <c r="L107" i="6"/>
  <c r="L140" i="6" s="1"/>
  <c r="K107" i="6"/>
  <c r="K140" i="6" s="1"/>
  <c r="A103" i="5" l="1"/>
  <c r="A105" i="5" s="1"/>
  <c r="A106" i="5" s="1"/>
  <c r="A108" i="5" s="1"/>
  <c r="A109" i="5" s="1"/>
  <c r="A110" i="5" s="1"/>
  <c r="A111" i="5" s="1"/>
  <c r="A113" i="5" s="1"/>
  <c r="A114" i="5" s="1"/>
  <c r="A115" i="5" s="1"/>
  <c r="A116" i="5" s="1"/>
  <c r="A141" i="6" l="1"/>
  <c r="A117" i="5"/>
  <c r="A118" i="5" s="1"/>
  <c r="A120" i="5" s="1"/>
  <c r="M11" i="6"/>
  <c r="A1" i="8"/>
  <c r="C15" i="8"/>
  <c r="B34" i="8"/>
  <c r="F37" i="8"/>
  <c r="B39" i="8"/>
  <c r="F39" i="8"/>
  <c r="B40" i="8"/>
  <c r="F40" i="8"/>
  <c r="A52" i="8"/>
  <c r="A1" i="7"/>
  <c r="B11" i="7" s="1"/>
  <c r="B4" i="7"/>
  <c r="D25" i="7"/>
  <c r="B26" i="7"/>
  <c r="D26" i="7"/>
  <c r="A1" i="6"/>
  <c r="D3" i="6"/>
  <c r="D4" i="6"/>
  <c r="D5" i="6"/>
  <c r="D6" i="6"/>
  <c r="A1" i="5"/>
  <c r="C4" i="5"/>
  <c r="C5" i="5"/>
  <c r="B5" i="7" s="1"/>
  <c r="C6" i="5"/>
  <c r="B6" i="7" s="1"/>
  <c r="C7" i="5"/>
  <c r="B7" i="7" s="1"/>
  <c r="M13" i="5"/>
  <c r="N13" i="5" s="1"/>
  <c r="O349" i="5"/>
  <c r="A353"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D10" i="1"/>
  <c r="D11" i="1"/>
  <c r="D12" i="1"/>
  <c r="D14" i="1"/>
  <c r="D15" i="1"/>
  <c r="D17" i="1"/>
  <c r="D18" i="1"/>
  <c r="D20" i="1"/>
  <c r="D21" i="1"/>
  <c r="A121" i="5" l="1"/>
  <c r="A122" i="5"/>
  <c r="A123" i="5"/>
  <c r="A124" i="5" s="1"/>
  <c r="A125" i="5" s="1"/>
  <c r="N137" i="5"/>
  <c r="N348" i="5" s="1"/>
  <c r="N140" i="6"/>
  <c r="N143" i="6" s="1"/>
  <c r="E21" i="1"/>
  <c r="C22" i="1" s="1"/>
  <c r="D19" i="7"/>
  <c r="B13" i="7"/>
  <c r="U6" i="4"/>
  <c r="P6" i="4"/>
  <c r="K6" i="4"/>
  <c r="I13" i="4"/>
  <c r="F6" i="4" s="1"/>
  <c r="O13" i="5"/>
  <c r="O137" i="5" s="1"/>
  <c r="A6" i="4"/>
  <c r="A127" i="5" l="1"/>
  <c r="A128" i="5" s="1"/>
  <c r="A129" i="5" s="1"/>
  <c r="A130" i="5" s="1"/>
  <c r="A131" i="5" s="1"/>
  <c r="A132" i="5" s="1"/>
  <c r="A134" i="5" s="1"/>
  <c r="A135" i="5" s="1"/>
  <c r="A136" i="5" s="1"/>
  <c r="N350" i="5"/>
  <c r="O350" i="5" s="1"/>
  <c r="O348" i="5"/>
  <c r="N351" i="5"/>
  <c r="D11" i="7" s="1"/>
  <c r="D13" i="7"/>
  <c r="Y25" i="4"/>
  <c r="T25" i="4" s="1"/>
  <c r="U7" i="4" s="1"/>
  <c r="O352" i="5" l="1"/>
  <c r="D18" i="7" s="1"/>
  <c r="D20" i="7" s="1"/>
  <c r="D15" i="7"/>
  <c r="D22" i="7" l="1"/>
  <c r="AB17" i="8" l="1"/>
  <c r="B17" i="8" s="1"/>
  <c r="A185" i="5"/>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8" i="5" s="1"/>
  <c r="A209" i="5" s="1"/>
  <c r="A211" i="5" s="1"/>
  <c r="A212" i="5" s="1"/>
  <c r="A213" i="5" s="1"/>
  <c r="A215" i="5" l="1"/>
  <c r="A216" i="5" s="1"/>
  <c r="A217" i="5" s="1"/>
  <c r="A218" i="5" s="1"/>
  <c r="A220" i="5" s="1"/>
  <c r="A221" i="5" s="1"/>
  <c r="A214" i="5"/>
  <c r="A222" i="5" l="1"/>
  <c r="A223" i="5"/>
  <c r="A224" i="5" s="1"/>
  <c r="A225" i="5" s="1"/>
  <c r="A226" i="5" l="1"/>
  <c r="A227" i="5"/>
  <c r="A228" i="5" s="1"/>
  <c r="A229" i="5" s="1"/>
  <c r="A230" i="5" s="1"/>
  <c r="A232" i="5" s="1"/>
  <c r="A233" i="5" s="1"/>
  <c r="A234" i="5" l="1"/>
  <c r="A235" i="5"/>
  <c r="A236" i="5" s="1"/>
  <c r="A237" i="5" s="1"/>
  <c r="A238" i="5" l="1"/>
  <c r="A239" i="5"/>
  <c r="A240" i="5" s="1"/>
  <c r="A241" i="5" s="1"/>
  <c r="A242" i="5" l="1"/>
  <c r="A243" i="5"/>
  <c r="A244" i="5" s="1"/>
  <c r="A246" i="5" s="1"/>
  <c r="A247" i="5" s="1"/>
  <c r="A248" i="5" s="1"/>
  <c r="A249" i="5" s="1"/>
  <c r="A250" i="5" l="1"/>
  <c r="A251" i="5"/>
  <c r="A252" i="5" s="1"/>
  <c r="A253" i="5" s="1"/>
  <c r="A255" i="5" s="1"/>
  <c r="A256" i="5" s="1"/>
  <c r="A257" i="5" s="1"/>
  <c r="A258" i="5" l="1"/>
  <c r="A259" i="5"/>
  <c r="A260" i="5" s="1"/>
  <c r="A261" i="5" s="1"/>
  <c r="A262" i="5" l="1"/>
  <c r="A263" i="5"/>
  <c r="A264" i="5" s="1"/>
  <c r="A265" i="5" s="1"/>
  <c r="A266" i="5" l="1"/>
  <c r="A267" i="5"/>
  <c r="A268" i="5" s="1"/>
  <c r="A269" i="5" s="1"/>
  <c r="A270" i="5" s="1"/>
  <c r="A271" i="5" s="1"/>
  <c r="A273" i="5" s="1"/>
  <c r="A274" i="5" s="1"/>
  <c r="A275" i="5" s="1"/>
  <c r="A276" i="5" l="1"/>
  <c r="A277" i="5"/>
  <c r="A278" i="5" s="1"/>
  <c r="A281" i="5" s="1"/>
  <c r="A282" i="5" s="1"/>
  <c r="A283" i="5" s="1"/>
  <c r="A285" i="5" s="1"/>
  <c r="A286"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<sst xmlns="http://schemas.openxmlformats.org/spreadsheetml/2006/main" count="2236" uniqueCount="993">
  <si>
    <t>Package-B for Construction of Field Hostel and Community Center at 765/400kV Kurnool-III PS under Transmission System for evacuation of power from RE sources in Kurnool Wind Energy Zone (3000MW)/ Solar Energy Zone (1500MW) Part-A and Part-B</t>
  </si>
  <si>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</si>
  <si>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</si>
  <si>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</si>
  <si>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</si>
  <si>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</si>
  <si>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</si>
  <si>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</si>
  <si>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</si>
  <si>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</si>
  <si>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</si>
  <si>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</si>
  <si>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</si>
  <si>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</si>
  <si>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</si>
  <si>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</si>
  <si>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</si>
  <si>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</si>
  <si>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</si>
  <si>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</si>
  <si>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</si>
  <si>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</si>
  <si>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</si>
  <si>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</si>
  <si>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</si>
  <si>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</si>
  <si>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</si>
  <si>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</si>
  <si>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</si>
  <si>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</si>
  <si>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</si>
  <si>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</si>
  <si>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</si>
  <si>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</si>
  <si>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</si>
  <si>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</si>
  <si>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</si>
  <si>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</si>
  <si>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</si>
  <si>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</si>
  <si>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</si>
  <si>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</si>
  <si>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</si>
  <si>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</si>
  <si>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</si>
  <si>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</si>
  <si>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</si>
  <si>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</si>
  <si>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</si>
  <si>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</si>
  <si>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</si>
  <si>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</si>
  <si>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</si>
  <si>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</si>
  <si>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</si>
  <si>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</si>
  <si>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</si>
  <si>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</si>
  <si>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</si>
  <si>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</si>
  <si>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</si>
  <si>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</si>
  <si>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</si>
  <si>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</si>
  <si>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</si>
  <si>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</si>
  <si>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</si>
  <si>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</si>
  <si>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</si>
  <si>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</si>
  <si>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</si>
  <si>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</si>
  <si>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</si>
  <si>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</si>
  <si>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</si>
  <si>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</si>
  <si>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</si>
  <si>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</si>
  <si>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</si>
  <si>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</si>
  <si>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</si>
  <si>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</si>
  <si>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</si>
  <si>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</si>
  <si>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</si>
  <si>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</si>
  <si>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</si>
  <si>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</si>
  <si>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</si>
  <si>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</si>
  <si>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</si>
  <si>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</si>
  <si>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</si>
  <si>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</si>
  <si>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</si>
  <si>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</si>
  <si>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</si>
  <si>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</si>
  <si>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</si>
  <si>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</si>
  <si>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</si>
  <si>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</si>
  <si>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</si>
  <si>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</si>
  <si>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</si>
  <si>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</si>
  <si>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</si>
  <si>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</si>
  <si>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</si>
  <si>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</si>
  <si>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</si>
  <si>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</si>
  <si>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</si>
  <si>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</si>
  <si>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</si>
  <si>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</si>
  <si>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</si>
  <si>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</si>
  <si>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</si>
  <si>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</si>
  <si>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</si>
  <si>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</si>
  <si>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</si>
  <si>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</si>
  <si>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</si>
  <si>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</si>
  <si>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</si>
  <si>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</si>
  <si>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</si>
  <si>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</si>
  <si>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</si>
  <si>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</si>
  <si>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</si>
  <si>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</si>
  <si>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</si>
  <si>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</si>
  <si>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</si>
  <si>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</si>
  <si>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</si>
  <si>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</si>
  <si>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</si>
  <si>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</si>
  <si>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</si>
  <si>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</si>
  <si>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</si>
  <si>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</si>
  <si>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</si>
  <si>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</si>
  <si>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</si>
  <si>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</si>
  <si>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</si>
  <si>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</si>
  <si>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</si>
  <si>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</si>
  <si>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</si>
  <si>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</si>
  <si>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</si>
  <si>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</si>
  <si>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</si>
  <si>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</si>
  <si>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</si>
  <si>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</si>
  <si>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</si>
  <si>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</si>
  <si>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</si>
  <si>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</si>
  <si>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</si>
  <si>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</si>
  <si>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</si>
  <si>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</si>
  <si>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</si>
  <si>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</si>
  <si>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</si>
  <si>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</si>
  <si>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</si>
  <si>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</si>
  <si>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</si>
  <si>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</si>
  <si>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</si>
  <si>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</si>
  <si>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</si>
  <si>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</si>
  <si>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</si>
  <si>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</si>
  <si>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</si>
  <si>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</si>
  <si>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</si>
  <si>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</si>
  <si>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</si>
  <si>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</si>
  <si>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</si>
  <si>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</si>
  <si>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</si>
  <si>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</si>
  <si>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</si>
  <si>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</si>
  <si>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</si>
  <si>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</si>
  <si>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</si>
  <si>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</si>
  <si>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</si>
  <si>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</si>
  <si>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</si>
  <si>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</si>
  <si>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</si>
  <si>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</si>
  <si>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</si>
  <si>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</si>
  <si>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</si>
  <si>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</si>
  <si>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</si>
  <si>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</si>
  <si>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</si>
  <si>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</si>
  <si>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</si>
  <si>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</si>
  <si>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</si>
  <si>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</si>
  <si>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</si>
  <si>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</si>
  <si>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</si>
  <si>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</si>
  <si>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</si>
  <si>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</si>
  <si>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</si>
  <si>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</si>
  <si>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</si>
  <si>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</si>
  <si>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</si>
  <si>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</si>
  <si>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</si>
  <si>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</si>
  <si>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</si>
  <si>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</si>
  <si>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</si>
  <si>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</si>
  <si>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</si>
  <si>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</si>
  <si>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</si>
  <si>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</si>
  <si>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</si>
  <si>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</si>
  <si>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</si>
  <si>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</si>
  <si>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</si>
  <si>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</si>
  <si>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</si>
  <si>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</si>
  <si>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</si>
  <si>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</si>
  <si>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</si>
  <si>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 xml:space="preserve"> Ref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</si>
  <si>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</si>
  <si>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</si>
  <si>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</si>
  <si>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</si>
  <si>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</si>
  <si>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 xml:space="preserve">Description
</t>
  </si>
  <si>
    <t>Unit</t>
  </si>
  <si>
    <t>Quantity</t>
  </si>
  <si>
    <t>Unit Erection Charges including GST   as per DSR</t>
  </si>
  <si>
    <t>GST %  included in DSR</t>
  </si>
  <si>
    <t>Unit Erection Charges excluding GST</t>
  </si>
  <si>
    <t>Amount excluding GST</t>
  </si>
  <si>
    <t xml:space="preserve"> GST</t>
  </si>
  <si>
    <t>14=13*10</t>
  </si>
  <si>
    <t>15=18% of 14</t>
  </si>
  <si>
    <t>DSR 2023</t>
  </si>
  <si>
    <t>DSR 2023-SCHEDULE ITEMS - CIVIL-FOR COMMUNITY CENTER</t>
  </si>
  <si>
    <t>SUB HEAD : 1.0 CARRIAGE OF MATERIALS</t>
  </si>
  <si>
    <t>1.1.2</t>
  </si>
  <si>
    <t>CARRIAGE OF MATERIALS
By Mechanical Transport including loading,unloading and stacking
Earth Up to 2 Km</t>
  </si>
  <si>
    <t>M3</t>
  </si>
  <si>
    <t>1.1.4</t>
  </si>
  <si>
    <t>CARRIAGE OF MATERIALS
By Mechanical Transport including loading,unloading and stacking
Excavated Rock Up to 2 Km</t>
  </si>
  <si>
    <t>SUB HEAD : 2.0 EARTH WORK</t>
  </si>
  <si>
    <t>2.8.1</t>
  </si>
  <si>
    <t xml:space="preserve">Earth work in excavation by mechanical means (Hydraulic excavator) / manual means in foundation trenches or drains (not exceeding 1.5 m in width or 10 sqm on plan) including dressing of sides and ramming of bottoms, lift up to 1.5 m, including getting out the excavated soil and disposal of surplus excavated soil as directed, within a lead of 50 m./ All kinds of soil  </t>
  </si>
  <si>
    <t>2.9.1</t>
  </si>
  <si>
    <t xml:space="preserve">Excavation work by mechanical means (Hydraulic excavator)/ manual means in foundation trenches or drains (not exceeding 1.5m in width or 10 sqm on plan), including dressing of sides and ramming of bottoms, lift upto 1.5 m, including getting out the excavated soil and disposal of surplus excavated soils as directed, within a lead of 50 m.
Ordinary rock
</t>
  </si>
  <si>
    <t>2.9.2</t>
  </si>
  <si>
    <t xml:space="preserve">Excavation work by mechanical means (Hydraulic excavator)/ manual means in foundation trenches or drains (not exceeding 1.5m in width or 10 sqm on plan), including dressing of sides and ramming of bottoms, lift upto 1.5 m, including getting out the excavated soil and disposal of surplus excavated soils as directed, within a lead of 50 m.
Hard rock (requiring blasting)
</t>
  </si>
  <si>
    <t>2.10.1.2</t>
  </si>
  <si>
    <t xml:space="preserve">Excavating trenches of required width for pipes, cables, etc. including excavation for sockets, and dressing of sides, ramming of bottoms, depth up to 1.5 m including getting out the excavated soil, and then returning the soil as required, in layers not exceeding 20 cm in depth, including consolidating each deposited layer by ramming, watering, etc. and disposing of surplus excavated soil as directed, within a lead of 50 m  in All kinds of soils :  Pipes, cables etc. exceeding 80 mm dia. but not exceeding 300 mm dia. </t>
  </si>
  <si>
    <t>M</t>
  </si>
  <si>
    <t>2.13.1.2</t>
  </si>
  <si>
    <t xml:space="preserve">Excavating trenches of required width for pipes, cables, etc, including excavation for sockets, depth upto 1.5 m, including getting out the excavated materials, returning the soil as required in layers not exceeding 20 cm in depth, including consolidating each deposited layers by ramming, watering etc., stacking serviceable material for measurements and disposal of unserviceable material as directed, within a lead of 50 m: 
Ordinary rock :
Pipes, cables etc. exceeding 80 mm dia. but not exceeding 300 mm dia. </t>
  </si>
  <si>
    <t>2.13.2.2</t>
  </si>
  <si>
    <t xml:space="preserve">Excavating trenches of required width for pipes, cables, etc, including excavation for sockets, depth upto 1.5 m, including getting out the excavated materials, returning the soil as required in layers not exceeding 20 cm in depth, including consolidating each deposited layers by ramming, watering etc., stacking serviceable material for measurements and disposal of unserviceable material as directed, within a lead of 50 m: 
Hard rock (requiring blasting)
Pipes, cables etc. exceeding 80 mm dia. but not exceeding 300 mm dia. </t>
  </si>
  <si>
    <t>2.25</t>
  </si>
  <si>
    <t xml:space="preserve">Filling available excavated earth (excluding rock) in trenches, plinth, sides of foundations etc. in layers not exceeding 20cm in depth, consolidating each deposited layer by ramming and watering, lead up to 50 m and lift up to 1.5 m. </t>
  </si>
  <si>
    <t>2.25(a)</t>
  </si>
  <si>
    <t>Excavating, supplying and filling of local earth (including royalty) by mechanical transport up to a lead of 5km also including ramming and watering of the earth in layers not exceeding 20 cm in trenches, plinth, sides of foundation etc. complete.</t>
  </si>
  <si>
    <t>2.34.1</t>
  </si>
  <si>
    <t xml:space="preserve">Supplying chemical emulsion in sealed containers including delivery as specified.  / Chlorpyriphos/ Lindane emulsifiable concentrate of 20% </t>
  </si>
  <si>
    <t>Litre</t>
  </si>
  <si>
    <t>SUB HEAD : 4.0 CONCRETE WORK</t>
  </si>
  <si>
    <t>4.1.8</t>
  </si>
  <si>
    <t>Providing and laying in position cement concrete of specified grade excluding the cost of centering and shuttering - All work up to plinth level :1:4:8 (1 Cement : 4 coarse sand (zone-III) derived from natural sources : 8 graded stone aggregate 40 mm nominal size derived from natural sources)</t>
  </si>
  <si>
    <t>4.2.3</t>
  </si>
  <si>
    <t>Providing and laying cement concrete in retaining walls, return walls, walls (any thickness) including attached pilasters, columns, piers, abutments, pillars, posts, struts, buttresses, string or lacing courses, parapets, coping, bed blocks, anchor blocks, plain window sills, fillets, sunken floor etc., up to floor five level, excluding the cost of centering, shuttering and finishing: 1:2:4 (1 Cement : 2 coarse sand (zone-III) derived from natural sources : 4 graded stone aggregate 20 mm nominal size derived from natural sources)</t>
  </si>
  <si>
    <t>4.3.1</t>
  </si>
  <si>
    <t xml:space="preserve">Centering and shuttering including strutting,propping etc. and removal of form work for :
Foundations, footings, bases for columns </t>
  </si>
  <si>
    <t>Sqm</t>
  </si>
  <si>
    <t>4.13</t>
  </si>
  <si>
    <t>Providing &amp; applying a coat of residual petroleum bitumen of grade of VG-10 of approved quality using 1.7kg per square metre on damp proof course after cleaning the surface with brushes and finally with apiece of cloth lightly soaked in kerosene oil.</t>
  </si>
  <si>
    <t>M2</t>
  </si>
  <si>
    <t>4.12</t>
  </si>
  <si>
    <t>Extra for providing and mixing water proofing material in cement concrete work in doses by weight of cement as per manufacturer's specification</t>
  </si>
  <si>
    <t>per 50kg Cement</t>
  </si>
  <si>
    <t>4.17</t>
  </si>
  <si>
    <t>Making plinth protection 50mm thick of cement concrete 1:3:6 (1 cement : 3 coarse sand (zone-III) derived from natural sources : 6 graded stone aggregate 20 mm nominal size derived from natural sources) over 75mm thick bed of dry brick ballast 40 mm nominal size, well rammed and consolidated and grouted with fine sand, including necessary excavation, levelling &amp; dressing &amp; finishing the top smooth.</t>
  </si>
  <si>
    <t>SUB HEAD : 5.0 REINFORCED CEMENT CONCRETE</t>
  </si>
  <si>
    <t>5.9</t>
  </si>
  <si>
    <t>Centering and shuttering including strutting, propping etc. and removal of form for</t>
  </si>
  <si>
    <t>5.9.1</t>
  </si>
  <si>
    <t xml:space="preserve">Foundations, footings, bases of columns, etc. for mass concrete. </t>
  </si>
  <si>
    <t>5.9.2</t>
  </si>
  <si>
    <t>Walls (any thickness) including attached pilasters butteresses plinth and string courses.</t>
  </si>
  <si>
    <t>5.9.3</t>
  </si>
  <si>
    <t xml:space="preserve">Suspended floors, roofs, landings, balconies and access platform. </t>
  </si>
  <si>
    <t>5.9.5</t>
  </si>
  <si>
    <t xml:space="preserve">Lintels, beams, plinth beams, girders, bressumers and cantilevers. </t>
  </si>
  <si>
    <t>5.9.6</t>
  </si>
  <si>
    <t xml:space="preserve">Columns, Pillars, Piers, Abutments, Posts and Struts. </t>
  </si>
  <si>
    <t>5.9.7</t>
  </si>
  <si>
    <t xml:space="preserve">Stairs, (excluding landings) except spiral-staircases. </t>
  </si>
  <si>
    <t>5.9.19</t>
  </si>
  <si>
    <t xml:space="preserve">Weather shade, Chajjas, corbels etc., including edges. </t>
  </si>
  <si>
    <t>5.16</t>
  </si>
  <si>
    <t>Providing, hoisting and fixing above plinth level up to floor five level precast reinforced cement concrete in shelves, including setting in cement mortar 1:3 (1cement : 3 coarse sand), cost of required centering, shuttering and finishing with neat cement punning on exposed surfaces but , excluding the cost of reinforcement, with 1:1.5:3 (1 cement : 1.5 coarse sand(zone-III) derived from natural sources : 3 graded stone aggregate 20 mm nominal size derived from natural sources).</t>
  </si>
  <si>
    <t xml:space="preserve">5.22.6 
</t>
  </si>
  <si>
    <t>Steel reinforcement for R.C.C. work including straightening, cutting, bending, placing in position and binding all complete up to plinth level. Thermo-Mechanically Treated bars of grade Fe-500D or more.</t>
  </si>
  <si>
    <t>KG</t>
  </si>
  <si>
    <t>5.22A.6</t>
  </si>
  <si>
    <t>Steel reinforcement for R.C.C. work including straightening, cutting, bending, placing in position and binding all complete above plinth level.: Thermo Mechanically Treated Bars of grade fe 500D or more</t>
  </si>
  <si>
    <t>5.30</t>
  </si>
  <si>
    <t>Add for plaster drip course/ groove in plastered surface or moulding to R.C.C. projections.</t>
  </si>
  <si>
    <t>5.33.1.1</t>
  </si>
  <si>
    <t>Providing and laying in position ready mixed or site batched design mix ncement concrete for reinforced cement concrete work; using coarse aggregate and fine aggregate derived from natural sources, Portland Pozzolana / Ordinary Portland /Portland Slag cement, admixtures in recommended proportions as per IS: 9103 to accelerate / retard setting of concrete, to improve durability and workability without impairing strength; including pumping of concrete to site of laying, curing, carriage for all leads; but excluding the cost of centering, shuttering, finishing and reinforcement as per direction of the engineer-in-charge, for the following grades of concrete.:
Note: Extra cement up to 10% of the minimum specified cement content in design mix shall be payable separately. In case the cement content in design mix is more than 110% of the specified minimum cement content, the contractor shall have discretion to either re-design the mix or bear the cost of extra cement.
All works upto plinth level.
Concrete of M25 grade with minimum cement content of 330 kg /cum</t>
  </si>
  <si>
    <t>5.33.2.1</t>
  </si>
  <si>
    <t>Providing and laying in position ready mixed or site batched design mix ncement concrete for reinforced cement concrete work; using coarse aggregate and fine aggregate derived from natural sources, Portland Pozzolana / Ordinary Portland /Portland Slag cement, admixtures in recommended proportions as per IS: 9103 to accelerate / retard setting of concrete, to improve durability and workability without impairing strength; including pumping of concrete to site of laying, curing, carriage for all leads; but excluding the cost of centering, shuttering, finishing and reinforcement as per direction of the engineer-in-charge, for the following grades of concrete.:
Note: Extra cement up to 10% of the minimum specified cement content in design mix shall be payable separately. In case the cement content in design mix is more than 110% of the specified minimum cement content, the contractor shall have discretion to either re-design the mix or bear the cost of extra cement.
All works above plinth level upto floor V level.
Concrete of M25 grade with minimum cement content of 330 kg /cum</t>
  </si>
  <si>
    <t>5.35</t>
  </si>
  <si>
    <t>Add for using extra cement in the items of design mix over and above the specified cement content therein.</t>
  </si>
  <si>
    <t>Quintal</t>
  </si>
  <si>
    <t>SUB HEAD : 6.0 MASONRY WORK</t>
  </si>
  <si>
    <t>6.15</t>
  </si>
  <si>
    <t xml:space="preserve">Extra for providing and placing in position 2 Nos. 6mm dia. M.S. bars at every third course of half brick masonry. </t>
  </si>
  <si>
    <t>SUB HEAD : 8.0 CLADDING WORK</t>
  </si>
  <si>
    <t>8.2.2.1</t>
  </si>
  <si>
    <t>Providing and fixing 18 mm thick gang saw cut, mirror polished, premoulded and prepolished, machine cut for kitchen platforms, vanity counters, window sills,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levels.:Granite stone slab colour black, Cherry/Ruby red:
Area of slab upto 0.50 sqm</t>
  </si>
  <si>
    <t>8.2.2.2</t>
  </si>
  <si>
    <t>Providing and fixing 18 mm thick gang saw cut, mirror polished, premoulded and prepolished, machine cut for kitchen platforms, vanity counters, window sills,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levels.:Granite stone slab colour black, Cherry/Ruby red:Area of slab over 0.50 sqm</t>
  </si>
  <si>
    <t>8.3.2</t>
  </si>
  <si>
    <t xml:space="preserve">Providing edge moulding to 18mm thick Granite stone counters, Vanities etc. including machine polishing to edge to give high gloss finish etc. complete as per design approved by Engineer-in-Charge. Granite work. </t>
  </si>
  <si>
    <t>8.4</t>
  </si>
  <si>
    <t>Extra for fixing marble /granite stone, over and above corresponding basic item, in facia and drops of width up to 150 mm with epoxy resin based adhesive, including cleaning etc. complete.</t>
  </si>
  <si>
    <t>8.5</t>
  </si>
  <si>
    <t>Extra for providing opening of required size &amp; shape for wash basin/ kitchen sink in kitchen platform, vanity counter and similar location in marble/ Granite/ stone work, including necessary holes for pillar taps etc. including moulding, rubbing and polishing of cut edges etc. complete.</t>
  </si>
  <si>
    <t>EA</t>
  </si>
  <si>
    <t>SUB HEAD : 9.0 WOOD AND P.V.C. WORK</t>
  </si>
  <si>
    <t>9.12</t>
  </si>
  <si>
    <t>Extra for providing frosted glass panes 4 mm thick instead of ordinary float glass panes 4 mm thick in doors, windows and clerestory window shutters. (Area of opening for glass panes excluding portion inside rebate shall be measured).</t>
  </si>
  <si>
    <t>9.48.2</t>
  </si>
  <si>
    <t>Providing and fixing M.S. grills of required pattern in frames of windows etc. with M.S. flats, square or round bars etc. including priming coat with approved steel primer all complete. Fixed to openings /wooden frames with rawl plugs screws etc.</t>
  </si>
  <si>
    <t>9.71.2</t>
  </si>
  <si>
    <t>Providing and fixing IS : 12817 marked stainless steel butt hinges (heavy weight) with stainless steel screws etc. complete :
100x60x2.50 mm</t>
  </si>
  <si>
    <t>9.96.1</t>
  </si>
  <si>
    <t>Providing and fixing aluminium sliding door bolts, ISI marked anodised (anodic coating not less than grade AC 10 as per IS : 1868), transparent or dyed to required colour or shade, with nuts and screws etc. complete :
300x16 mm</t>
  </si>
  <si>
    <t>9.96.2</t>
  </si>
  <si>
    <t>Providing and fixing aluminium sliding door bolts, ISI marked anodised (anodic coating not less than grade AC 10 as per IS : 1868), transparent or dyed to required colour or shade, with nuts and screws etc. complete :
250x16 mm</t>
  </si>
  <si>
    <t>9.97.1</t>
  </si>
  <si>
    <t>Providing and fixing aluminium tower bolts, ISI marked, anodised (anodic coating not less than grade AC 10 as per IS : 1868 ) transparent or dyed to required colour or shade, with necessary screws etc.complete :
300x10 mm</t>
  </si>
  <si>
    <t>9.97.4</t>
  </si>
  <si>
    <t>Providing and fixing aluminium tower bolts, ISI marked, anodised (anodic coating not less than grade AC 10 as per IS : 1868 ) transparent or dyed to required colour or shade, with necessary screws etc.complete :
150x10 mm</t>
  </si>
  <si>
    <t>9.100.1</t>
  </si>
  <si>
    <t>Providing and fixing aluminium handles, ISI marked, anodised (anodic coating not less than grade AC 10 as per IS : 1868) transparent or dyed to required colour or shade, with necessary screws etc. complete :
125 mm</t>
  </si>
  <si>
    <t>9.101.2</t>
  </si>
  <si>
    <t>Providing and fixing aluminium hanging floor door stopper, ISI marked, anodised (anodic coating not less than grade AC 10 as per IS : 1868) transparent or dyed to required colour and shade, with necessary screws etc. complete.
Twin rubber stopper</t>
  </si>
  <si>
    <t>SUB HEAD : 10.0 STEEL WORK</t>
  </si>
  <si>
    <t>10.16.2</t>
  </si>
  <si>
    <t>Steel work in built up tubular (round, square or rectangular hollow tubes etc.) trusses etc., including cutting, hoisting, fixing in position and applying a priming coat of approved steel primer, including welding and bolted with special shaped washers etc. complete. Hot finished seamless type tubes</t>
  </si>
  <si>
    <t>10.25.2</t>
  </si>
  <si>
    <t xml:space="preserve">Steel work welded in built up sections/ framed work, including cutting, hoisting, fixing in position and applying a priming coat of approved steel primer using structural steel etc. as required. In gratings, frames, guard bar, ladder, railings, brackets, gates and similar works
</t>
  </si>
  <si>
    <t>10.28</t>
  </si>
  <si>
    <t>Providing and fixing stainless steel ( Grade 304) railing made of Hollow tubes, channels, plates etc., including welding, grinding, buffing, polishing and making curvature (wherever required) and fitting the same with necessary stainless steel nuts and bolts complete, i/c fixing the railing with necessary accessories &amp; stainless steel dash fasteners , stainless steel bolts etc., of required size, on the top of the floor or the side of waist slab with suitable arrangement as per approval of Engineer-in-charge, (for payment purpose only weight of stainless steel members shall be considered excluding fixing accessories such as nuts, bolts, fasteners etc.).</t>
  </si>
  <si>
    <t>SUB HEAD : 11.0 FLOORING</t>
  </si>
  <si>
    <t>11.3.1</t>
  </si>
  <si>
    <t>Cement concrete flooring 1:2:4 (1 cement : 2 coarse sand : 4 graded stone aggregate) finished with a floating coat of neat cement, including cement slurry, but excluding the cost of nosing of steps etc.complete.
40 mm thick with 20 mm nominal size stone aggregate.</t>
  </si>
  <si>
    <t>11.37</t>
  </si>
  <si>
    <t>Providing and laying Ceramic glazed floor tiles of size 300x300 mm (thickness to be specified by the manufacturer) of 1st quality conforming to IS : 15622 of approved make in colours such as White, Ivory, Grey, Fume Red Brown, laid on 20 mm thick cement mortar 1:4 (1 Cement : 4 Coarse sand), Jointing with grey cement slurry @ 3.3 kg/sqm including pointing the joints with white cement and matching pigment etc., complete..</t>
  </si>
  <si>
    <t>11.37A</t>
  </si>
  <si>
    <t>Providing and fixing 1st quality ceramic glazed floor tiles conforming to IS : 15622 (thickness to be specified by the manufacturer) of approved make in all colours, shades except burgundy, bottle green, black of any size as approved by Engineer-in-Charge in skirting, risers of steps and dados over 12 mm thick bed of cement Mortar 1:3 (1 cement: 3 coarse sand) and jointing with grey cement slurry @ 3.3kg per sqm including pointing in white cement mixed with pigment of matching shade complete.</t>
  </si>
  <si>
    <t>11.41A.2.1</t>
  </si>
  <si>
    <t xml:space="preserve">Providing and laying Vitrified tiles in floor in different sizes (thickness to be specified by the manufacturer) with water absorption less than 0.08% and conforming to 1S:15622, of approved brand &amp; manufacturer, in all colours and shade, laid on 20 mm thick cement mortar 1:4 (1 cement: 4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
Glazed vitrified floor tiles polished finish of size.
Size of Tile 600 x 600 mm </t>
  </si>
  <si>
    <t>11.41A.2.5</t>
  </si>
  <si>
    <t>Providing and laying Vitrified tiles in floor in different sizes (thickness to be specified by the manufacturer) with water absorption less than 0.08% and conforming to 1S:15622, of approved brand &amp; manufacturer, in all colours and shade, laid on 20 mm thick cement mortar 1:4 (1 cement: 4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
Glazed vitrified floor tiles polished finish of size.
Size of Tile 1200 X 1200 mm</t>
  </si>
  <si>
    <t>11.55.1</t>
  </si>
  <si>
    <t xml:space="preserve">Providing and laying flamed finish Granite stone flooring in required design and patterns, in linear as well as curvilinear portions of the building all complete as per the architectural drawings with 18 mm thick stone slab over 20 mm (average) thick base of cement mortar 1:4 (1 cement : 4 coarse sand) laid and jointed with cement slurry and pointing with white cement slurry admixed with pigment of matching shade including rubbing, curing and polishing etc. all complete as specified and as directed by the Engineer-in-Charge :
Flamed finish granite stone slab Jet Black, Cherry Red, Elite Brown, Cat Eye or equivalent. </t>
  </si>
  <si>
    <t>11.56.1</t>
  </si>
  <si>
    <t>Providing and laying Polished Granite stone flooring in required design and patterns, in linear as well as curvilinear portions of the building all complete as per the architectural drawings with 18 mm thick stone slab over 20 mm (average) thick base of cement mortar 1:4 (1 cement : 4 coarse sand) laid and jointed with cement slurry and pointing with white cement slurry admixed with pigment of matching shade including rubbing , curing and polishing etc. all complete as specified and as directed by the Engineer-in-Charge.
Polished Granite stone slab of colour Black, Cherry/Ruby Red or equivalent</t>
  </si>
  <si>
    <t>SUB HEAD : 12.0 ROOFING</t>
  </si>
  <si>
    <t>12.41.2</t>
  </si>
  <si>
    <t xml:space="preserve">Providing and fixing on wall face unplasticised Rigid PVC rain water pipes conforming to IS : 13592 Type A including jointing with seal ring conforming to IS : 5382 leaving 10 mm gap for thermal expansion.(i)Single socketed pipes. : 110 mm diameter </t>
  </si>
  <si>
    <t>12.42</t>
  </si>
  <si>
    <t>Providing and fixing on wall face unplasticised - PVC moulded fittings/ accessories for unplasticised Rigid PVC rain water pipes conforming to IS : 13592 Type A including jointing with seal ring conforming to IS :5382 leaving 10 mm gap for thermal expansion.</t>
  </si>
  <si>
    <t>12.42.1.2</t>
  </si>
  <si>
    <t>Coupler:110 mm</t>
  </si>
  <si>
    <t>12.42.3.2</t>
  </si>
  <si>
    <t>Single tee with door:110x110x110 mm</t>
  </si>
  <si>
    <t>12.42.5.2</t>
  </si>
  <si>
    <t xml:space="preserve">Bend 87.5° : 110 mm bend </t>
  </si>
  <si>
    <t>12.42.6.2</t>
  </si>
  <si>
    <t xml:space="preserve">Shoe (Plain) : 110 mm Shoe </t>
  </si>
  <si>
    <t>12.43.2</t>
  </si>
  <si>
    <t xml:space="preserve">Providing and fixing unplasticised -PVC pipe clips of approved design to unplasticised - PVC rain water pipes by means of 50x50x50mm hardwood plugs, screwed with M.S. screws of required length including cutting brick work and fixing in cement mortar 1:4 (1 cement : 4 coarse sand) and making good the wall etc. complete. : 110 mm </t>
  </si>
  <si>
    <t>12.45.3</t>
  </si>
  <si>
    <t>Providing and fixing false ceiling at all heights including providing and fixing of frame work made of special sections, power pressed from M.S. sheets and galvanized with zinc coating of 120 gms/sqm (both side inclusive) as per IS : 277 and consisting of angle cleats of size 25 mm wide x 1.6 mm thick with flanges of 27 mm and 37mm, at 1200 mm centre to centre, one flange fixed to the ceiling with dash fastener 12.5 mm dia x 50 mm long with 6 mm dia bolts, other flange of cleat fixed to the angle hangers of 25x10x0.50 mm of required length with nuts &amp; bolts of required size and other end of angle hanger fixed with intermediate G.]. channels 45x15x0.9 mm running at the spacing of 1200 mm centre to centre, to which the ceiling section 0.5 mm thick bottom wedge of 80 mm with tapered flanges of 26 mm each having lips of 10.5 mm, at 450 mm centre to centre, shall be fixed in a direction perpendicular to G.|. intermediate channel with connecting clips made out of 2.64 mm dia x 230 mm long G.I. wire at every junction, including fixing perimeter channels 0.5 mm thick 27 mm high having flanges of 20 mm and 30 mm long, the perimeter of ceiling fixed to wall/partition with the help of rawl plugs at 450 mm centre, with 25 mm long dry wall screws @ 230 mm interval, including fixing of gypsum board to ceiling section and perimeter channel with the help of dry wall screws of size 3.5 x 25 mm at 230 mm c/c, including jointing and finishing to a flush finish of tapered and square edges of the board with recommended jointing compound , jointing tapes , finishing with jointing compound in 3 layers covering upto 150 mm on both sides of joint and two coats of primer suitable for board, all as per manufacturer’s specification and also including the cost of making openings for light fittings, grills,diffusers, cutouts made with frame of perimeter channels suitably fixed, all complete as per drawings, specification and direction of the Engineer in Charge but excluding the cost of painting with :
12.5 mm thick tapered edge gypsum moisture resistant board</t>
  </si>
  <si>
    <t>12.46</t>
  </si>
  <si>
    <t xml:space="preserve">Providing and fixing to the inlet mouth of rain water pipe PTMT (an Engineering Thermoplastic) grating square (Slit) 150 mm square with a height of 8 mm and weighing not less than 100 gms. </t>
  </si>
  <si>
    <t>Providing and fixing precoated galvanised iron profile sheets (size, shape and pitch of corrugation as approved by Engineer-in-Charge) of total coated thickness 0.50 mm (base metal of minimum 0.45 mm thickness with total coating thickness of 0.05mm) with zinc coating 120 grams per sqm as per IS: 277, in 240 mpa steel grade, 5-7 microns epoxy primer on both side of the sheet and polyester top coat 15-18 microns. Sheet should have protective guard film of 25 microns minimum to avoid scratches during transportation and should be supplied in single length upto 12 metre or as desired by Engineer-in-charge. The sheet shall be fixed using self drilling /self tapping screws of size (5.5x 55 mm) with EPDM seal, complete upto any pitch in horizontal/ vertical or curved surfaces, excluding the cost of purlins, rafters and trusses and including cutting to size and shape wherever required.</t>
  </si>
  <si>
    <t>SUB HEAD : 13.0 FINISHING</t>
  </si>
  <si>
    <t>13.4.2</t>
  </si>
  <si>
    <t xml:space="preserve">12 mm cement plaster of mix : 1:6 (1 cement: 6 coarse sand) </t>
  </si>
  <si>
    <t>13.5.2</t>
  </si>
  <si>
    <t xml:space="preserve">15 mm cement plaster on rough side of single or half brick wall of mix : 1:6 (1 cement: 6 coarse sand) </t>
  </si>
  <si>
    <t>13.9.1</t>
  </si>
  <si>
    <t>Cement plaster 1:3 (1 cement: 3 coarse sand) finished with a floating coat of neat cement.:12 mm cement plaster</t>
  </si>
  <si>
    <t>13.11</t>
  </si>
  <si>
    <t xml:space="preserve">18 mm cement plaster in two coats under layer 12 mm thick cement plaster 1:5 (1 cement: 5 coarse sand) finished with a top layer 6mm thick cement plaster 1:6 (1 cement: 6 fine sand). </t>
  </si>
  <si>
    <t>13.16.1</t>
  </si>
  <si>
    <t>6 mm cement plaster of mix : 1:3 (1 cement: 3 fine sand)  Note: For Ceiling plaster and RCC exposed surfaces.</t>
  </si>
  <si>
    <t>13.21</t>
  </si>
  <si>
    <t>Extra for providing and mixing water proofing material in cement plaster work in proportion recommended by the manufacturers.</t>
  </si>
  <si>
    <t>Per bag of 50kg cement</t>
  </si>
  <si>
    <t>13.47.1</t>
  </si>
  <si>
    <t>Finishing walls with Premium Acrylic Smooth exterior paint with Silicone additives of required shade : New work (Two or more coats applied @ 1.43 ltr/ 10 sqm over and including priming coat of exterior primer applied @ 2.20 kg/ 10 sqm)</t>
  </si>
  <si>
    <t>13.52.1</t>
  </si>
  <si>
    <t>Finishing with Epoxy paint (two or more coats) at all locations prepared and applied as per manufacturer’s specifications including appropriate priming coat, preparation of surface, etc. complete.
On steel work</t>
  </si>
  <si>
    <t>13.61.1</t>
  </si>
  <si>
    <t xml:space="preserve">Painting with synthetic enamel paint of approved brand and manufacture to give an even shade : Two or more coats on new work. </t>
  </si>
  <si>
    <t>13.80</t>
  </si>
  <si>
    <t>Providing and applying white cement based putty of average thickness 1mm thick, of approved brand and manufacture over the plastered wall surface of to prepare the surface even and smooth complete.</t>
  </si>
  <si>
    <t>13.83.2</t>
  </si>
  <si>
    <t>Wall painting with premium acrylic emulsion paint of interior grade, having VOC (Volatile Organic Compound ) content less than 50 grams/ litre of approved brand and manufacture, including applying additional coats wherever required to achieve even shade and colour.
Two coats</t>
  </si>
  <si>
    <t>13.85.3</t>
  </si>
  <si>
    <t>Applying priming coats with primer of approved brand and manufacture,having low VOC (Volatile Organic Compound ) content.
With water thinnable cement primer on wall surface having VOC content less than 50 grams/litre</t>
  </si>
  <si>
    <t>SUB HEAD : 17.0 SANITARY INSTALLATIONS</t>
  </si>
  <si>
    <t>17.32.4</t>
  </si>
  <si>
    <t xml:space="preserve">Providing and fixing mirror of superior glass (of approved quality) and of required shape and size with plastic moulded frame of approved make and shade with 6 mm thick hard board backing : Rectangular shape1500X450 mm </t>
  </si>
  <si>
    <t>SUB HEAD : 18.0  WATER SUPPLY</t>
  </si>
  <si>
    <t>18.7</t>
  </si>
  <si>
    <t>Providing and fixing Chlorinated Polyvinyl Chloride (CPVC) pipes, having thermal stability for hot &amp; cold water supply, including all CPVC plain &amp; brass threaded fittings, including fixing the pipe with clamps at 1.00 m spacing. This includes jointing of pipes &amp; fittings with one step CPVC solvent cement and testing of joints complete as per direction of Engineer in Charge. Internal work - Exposed on wall</t>
  </si>
  <si>
    <t xml:space="preserve">18.7.3 </t>
  </si>
  <si>
    <t>25 mm nominal outer dia Pipes.</t>
  </si>
  <si>
    <t>18.8</t>
  </si>
  <si>
    <t>Providing and fixing Chlorinated Polyvinyl Chloride (CPVC) pipes,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complete as per direction of Engineer in Charge. Concealed work, including cutting chases and making good the walls etc.</t>
  </si>
  <si>
    <t>18.8.1</t>
  </si>
  <si>
    <t>15 mm nominal outer dia Pipes</t>
  </si>
  <si>
    <t>18.8.2</t>
  </si>
  <si>
    <t>20 mm nominal outer dia Pipes</t>
  </si>
  <si>
    <t>18.8.3</t>
  </si>
  <si>
    <t>25 mm nominal outer dia Pipes</t>
  </si>
  <si>
    <t>18.8.4</t>
  </si>
  <si>
    <t>32 mm nominal outer dia Pipes</t>
  </si>
  <si>
    <t>18.9</t>
  </si>
  <si>
    <t xml:space="preserve">Providing and fixing Chlorinated Polyvinyl Chloride (CPVC) pipes, having thermal stability for hot &amp; cold water supply including all CPVC plain &amp; brass threaded fittings This includes jointing of pipes &amp; fittings with one step CPVC solvent cement, trenching, refilling &amp; testing of joints complete as per direction of Engineer in Charge.
External work
</t>
  </si>
  <si>
    <t>18.9.3</t>
  </si>
  <si>
    <t xml:space="preserve">18.9.3 25 mm nominal dia Pipes
</t>
  </si>
  <si>
    <t>18.9.4</t>
  </si>
  <si>
    <t>18.9.4 32 mm nominal dia Pipes</t>
  </si>
  <si>
    <t>18.9.5</t>
  </si>
  <si>
    <t>18.9.5 40 mm nominal dia Pipes</t>
  </si>
  <si>
    <t>18.9.6</t>
  </si>
  <si>
    <t xml:space="preserve">18.9.6 50 mm nominal dia Pipes
</t>
  </si>
  <si>
    <t>18.48</t>
  </si>
  <si>
    <t xml:space="preserve">Providing and placing on terrace (at all floor levels) polyethylene water storage tank, ISI : 12701 marked, with cover and suitable locking arrangement and making necessary holes for inlet, outlet and overflow pipes but without fittings and the base support for tank. </t>
  </si>
  <si>
    <t>18.53A</t>
  </si>
  <si>
    <t>Providing and fixing C.P. Brass extension nipple (size 15mmx50mm) of approved make and quality as per direction of Engineer-in-charge.</t>
  </si>
  <si>
    <t>SUB HEAD : 19.0 DRAINAGE</t>
  </si>
  <si>
    <t>19.4.1.1</t>
  </si>
  <si>
    <t xml:space="preserve">Providing and fixing square-mouth S.W. gully trap class SP-1 complete with C.I. grating brick masonry chamber with water tight C.I. cover with frame of 300 x300 mm size (inside) the weight of cover to be not less than 4.50 kg and frame to be not less than 2.70 kg as per standard design,  100x100 mm size P type : With common burnt clay F.P.S. (non modular) bricks of class designation 7.5 </t>
  </si>
  <si>
    <t>19.6</t>
  </si>
  <si>
    <t>Providing and laying non-pressure NP2 class (light duty) R.C.C. pipes with collars jointed with stiff mixture of cement mortar in the proportion of 1:2 (1 cement : 2 fine sand) including testing of joints etc. complete :</t>
  </si>
  <si>
    <t>19.6.3</t>
  </si>
  <si>
    <t>250 mm dia. R.C.C. pipe</t>
  </si>
  <si>
    <t>19.6.4</t>
  </si>
  <si>
    <t>300 mm dia. R.C.C. pipe</t>
  </si>
  <si>
    <t>19.6.5</t>
  </si>
  <si>
    <t>450 mm dia. R.C.C. pipe</t>
  </si>
  <si>
    <t>19.7.1.1</t>
  </si>
  <si>
    <t>Constructing brick masonry manhole in cement mortar 1:4 ( 1 cement : 4 coarse sand ) with R.C.C. top slab with 1:1.5:3 mix (1 cement : 1.5 coarse sand (zone- III) : 3 graded stone aggregate 20 mm nominal size), foundation concrete 1:4:8 mix (1 cement : 4 coarse sand (zone- III) : 8 graded stone aggregate 40 mm nominal size), inside plastering 12 mm thick with cement mortar 1:3 (1 cement : 3 coarse sand) finished with floating coat of neat cement and making channels in cement concrete 1:2:4 (1 cement : 2 coarse sand : 4 graded stone aggregate 20 mm nominal size) finished with a floating coat of neat cement complete as per standard design : Inside size 90x80 cm and 45 cm deep including C.I. cover with frame (light duty) 455x610 mm internal dimensions, total weight of cover and frame to be not less than 38 kg (weight of cover 23 kg and weight of frame 15 kg)-With common burnt clay F.P.S. (non modular) bricks of class designation 7.5</t>
  </si>
  <si>
    <t>SUB HEAD : 21.0 ALUMINIUM WORK</t>
  </si>
  <si>
    <t>21.1.1.2</t>
  </si>
  <si>
    <t xml:space="preserve">Providing and fixing aluminium work for doors, windows, ventilators and partitions with extruded built up standard tubular sections/appropriate Z sections and other sections of approved make conforming to IS: 733 and IS: 1285, fixing with dash fasteners of required dia and size, including necessary filling up the gaps at junctions, i.e. at top, bottom and sides with required EPDM rubber/neoprene gasket etc. Aluminium sections shall be smooth, rust free, straight, mitred and jointed mechanically wherever required including cleat angle, Aluminium snap beading for glazing / panelling, C.P. brass/ stainless steel screws, all complete as per architectural drawings and the directions of Engineer-in-charge. (Glazing, panelling and dash fasteners to be paid for separately) - For fixed portion : Powder coated aluminium (minimum thickness of powder coating 50 micron) </t>
  </si>
  <si>
    <t>Kg</t>
  </si>
  <si>
    <t>21.1.2.2</t>
  </si>
  <si>
    <t>Providing and fixing aluminium work for doors, windows, ventilators and partitions with extruded built up standard tubular sections/appropriate Z sections and other sections of approved make conforming to IS: 733 and IS: 1285, fixing with dash fasteners of required dia and size, including necessary filling up the gaps at junctions, i.e. at top, bottom and sides with required EPDM rubber/neoprene gasket etc. Aluminium sections shall be smooth, rust free, straight, mitred and jointed mechanically wherever required including cleat angle, Aluminium snap beading for glazing / panelling, C.P. brass/ stainless steel screws, all complete as per architectural drawings and the directions of Engineer-in-charge. (Glazing, panelling and dash fasteners to be paid for separately) -For shutters of doors, windows &amp; ventilators including
providing and fixing hinges/ pivots and making provision for fixing of fittings wherever required including the cost of EPDM rubber / neoprene gasket required (Fittings shall be paid for separately):Powder coated aluminium (minimum thickness of powder coating 50 micron)</t>
  </si>
  <si>
    <t>21.3.2</t>
  </si>
  <si>
    <t>Providing and fixing glazing in aluminium door, window, ventilator shutters and partitions etc. with EPDM rubber / neoprene gasket etc. complete as per the architectural drawings and the directions of engineer-in-charge . (Cost of aluminium snap beading shall be paid in basic item):With float glass panes of 5 mm thickness (weight not less than 12.50 kg/sqm)</t>
  </si>
  <si>
    <t>21.4.1</t>
  </si>
  <si>
    <t>Providing and fixing double action hydraulic floor spring of approved brand and manufacture conforming to IS : 6315, having brand logo embossed on the body / plate with double spring mechanism and door weight upto 125 kg, for doors, including cost of cutting floors, embedding in floors as required and making good the same matching to the existing floor finishing and cover plates with brass pivot and single piece M.S. sheet outer box with slide plate etc. complete as per the direction of Engineer-in-charge.: With stainless steel cover plate minimum 1.25 mm thickness</t>
  </si>
  <si>
    <t>21.8.1</t>
  </si>
  <si>
    <t>Filling the gap in between aluminium frame &amp; adjacent RCC/ Brick/ Stone work by providing weather silicon sealant over backer rod of approved quality as per architectural drawings and direction of Engineer-in-charge complete.-Upto 5mm depth and 5 mm width .
Note: This item also applicable for wooden/uPVC frames and masonry/urinal/WC/wash basin/RCC gaps.</t>
  </si>
  <si>
    <t>Providing and fixing Brass 100 mm mortice latch and lock with 6 levers without pair of handles (best make of approved quality) for aluminium doors including necessary cutting and making good etc. complete.</t>
  </si>
  <si>
    <t>SUB HEAD : 22.0 WATER PROOFING</t>
  </si>
  <si>
    <t>22.7.1</t>
  </si>
  <si>
    <t>Providing and laying integral cement based water proofing treatment including preparation of surface as required for treatment of roofs,balconies, terraces etc consisting of following operations:
(a) Applying a slurry coat of neat cement using 2.75 kg/sqm of cement admixed with water proofing compound conforming to IS. 2645 and approved by Engineer-in-charge over the RCC slab including adjoining walls upto 300 mm height including cleaning the surface before treatment.
(b) Laying brick bats with mortar using broken bricks/brick bats 25 mm to 115 mm size with 50% of cement mortar 1:5 (1 cement : 5 coarse sand) admixed with water proofing compound conforming to IS : 2645
and approved by Engineer-in-charge over 20 mm thick layer of cement mortar of mix 1:5 (1 cement :5 coarse sand) admixed with water proofing compound conforming to IS : 2645 and approved by Engineer-in-charge to required slope and treating similarly the adjoining walls upto 300 mm height including rounding of junctions of walls and slabs.
(c) After two days of proper curing applying a second coat of cement slurry using 2.75 kg/ sqm of cement admixed with water proofing compound conforming to IS : 2645 and approved by Engineer-in-charge.
(d) Finishing the surface with 20 mm thick jointless cement mortar of mix 1:4 (1 cement :4 coarse sand) admixed with water proofing compound conforming to IS : 2645 and approved by Engineer-in-charge including
laying glass fibre cloth of approved quality in top layer of plaster and finally finishing the surface with trowel with neat cement slurry and making pattern of 300x300 mm square 3 mm deep.
(e) The whole terrace so finished shall be flooded with water for a minimum period of two weeks for curing and for final test. “All above operations to be done in order and as directed and specified by the Engineer-in-Charge”:
With average thickness of 120 mm and minimum thickness at khurra as 65 mm.</t>
  </si>
  <si>
    <t>26.86.5</t>
  </si>
  <si>
    <t xml:space="preserve">Providing and fixing factory made single extruded WPC (Wood Polymer Composite) solid door/window/Clerestory windows &amp; other Frames/ Chowkhat comprising of virgin PVC polymer of K value 58-60 (Suspension Grade), calcium carbonate and natural fibers (wood powder/ rice husk/ wheat husk) and non toxic additives (maximum toxicity index of 12 for 100 gms) fabricated with miter joints after applying PVC solvent cement and screwed with full body threaded star headed SS screws having minimum frame density of 750 kg/cum, screw withdrawal strength of 2200 N (Face) &amp; 1100 N (Edge), minimum compressive strength of 58 N/mm2, modulus of elasticity 900 N/mm2 and resistance to spread of flame of Class A category with property of being termite/borer proof, water/moisture proof and fire retardant and fixed in position with M.S hold fast/lugs/SS dash fasteners of required dia and length complete as per direction of Engineer-In- Charge. (M.S hold fast/lugs or SS dash fasteners shall be paid for separately).
Note: For WPC solid door/window frames, minus 5 mm tolerance in dimensions i.e depth and width of profile shall be acceptable. Variation in profile dimensions on plus side shall be acceptable but no extra payment
on this account shall be made.
26.86.5 Frame size 65 x 100 mm
</t>
  </si>
  <si>
    <t>26.87.1</t>
  </si>
  <si>
    <t xml:space="preserve">26.87  Providing and fixing factory made single extruded WPC (Wood Polymer Composite) solid plain flush door shutter of required size comprising of virgin polymer of K value 58-60 (Suspension Grade), calcium carbonate and natural fibers (wood powder/ rice husk/wheat husk) and non toxic additives (maximum toxicity index of 12 for 100 gms) having minimum density of 650 kg/cum and screw withdrawal strength of 1800 N (Face) &amp; 900 N (Edge), minimum compressive strength 50 N/mm2, modulus of elasticity 850 N/mm2 and resistance to spread of flame of Class A category with property of being termite/borer proof, water/moisture proof and fire retardant and fixing with stainless steel butt hinges of required size with necessary full body threaded star headed counter sunk S.S screws, all as per direction of Engineer-In- Charge. (Note: stainless steel butt hinges and necessary S.S screws shall be paid separately)
26.87.1 30 mm thick
</t>
  </si>
  <si>
    <t>TOTAL FOR SCHEDULE ITEMS -CIVIL-FOR COMMUNITY CENTER</t>
  </si>
  <si>
    <t>DSR 2023-SCHEDULE ITEMS - CIVIL-FOR FIELD HOSTEL</t>
  </si>
  <si>
    <r>
      <t>Providing and laying cement concrete in retaining walls, return walls, walls (any thickness) including attached pilasters, columns, piers, abutments, pillars, posts, struts, buttresses, string or lacing courses,</t>
    </r>
    <r>
      <rPr>
        <b/>
        <sz val="12"/>
        <rFont val="Calibri"/>
        <family val="2"/>
        <scheme val="minor"/>
      </rPr>
      <t xml:space="preserve"> parapets, coping</t>
    </r>
    <r>
      <rPr>
        <sz val="12"/>
        <rFont val="Calibri"/>
        <family val="2"/>
        <scheme val="minor"/>
      </rPr>
      <t>, bed blocks, anchor blocks, plain window sills, fillets, sunken floor etc., up to floor five level, excluding the cost of centering, shuttering and finishing: 1:2:4 (1 Cement : 2 coarse sand (zone-III) derived from natural sources : 4 graded stone aggregate 20 mm nominal size derived from natural sources)</t>
    </r>
  </si>
  <si>
    <t>SUB HEAD :5.0 REINFORCED CEMENT CONCRETE</t>
  </si>
  <si>
    <t>Providing and laying in position ready mixed or site batched design mix ncement concrete for reinforced cement concrete work; using coarse aggregate and fine aggregate derived from natural sources, Portland
Pozzolana / Ordinary Portland /Portland Slag cement, admixtures in recommended proportions as per IS: 9103 to accelerate / retard setting of concrete, to improve durability and workability without impairing
strength; including pumping of concrete to site of laying, curing, carriage for all leads; but excluding the cost of centering, shuttering, finishing and reinforcement as per direction of the engineer-in-charge, for the following grades of concrete.:
Note: Extra cement up to 10% of the minimum specified cement content in design mix shall be payable separately. In case the cement content in design mix is more than 110% of the specified minimum cement content, the contractor shall have discretion to either re-design the mix or bear the cost of extra cement.
All works upto plinth level.
Concrete of M25 grade with minimum cement content of 330 kg /cum</t>
  </si>
  <si>
    <t>Providing and laying in position ready mixed or site batched design mix ncement concrete for reinforced cement concrete work; using coarse aggregate and fine aggregate derived from natural sources, Portland
Pozzolana / Ordinary Portland /Portland Slag cement, admixtures in recommended proportions as per IS: 9103 to accelerate / retard setting of concrete, to improve durability and workability without impairing
strength; including pumping of concrete to site of laying, curing, carriage for all leads; but excluding the cost of centering, shuttering, finishing and reinforcement as per direction of the engineer-in-charge, for the following grades of concrete.:
Note: Extra cement up to 10% of the minimum specified cement content in design mix shall be payable separately. In case the cement content in design mix is more than 110% of the specified minimum cement content, the contractor shall have discretion to either re-design the mix or bear the cost of extra cement.
All works above plinth level upto floor V level.
Concrete of M25 grade with minimum cement content of 330 kg /cum</t>
  </si>
  <si>
    <t>SUB HEAD :8.0  MASONRY WORK</t>
  </si>
  <si>
    <t>SUB HEAD : 9.0 WOOD AND PVC WORK</t>
  </si>
  <si>
    <t>9.1.1</t>
  </si>
  <si>
    <t xml:space="preserve"> Providing wood work in frames of doors, windows, clerestory windows and other frames, wrought framed and fixed in position with hold fast lugs or with dash fasteners of required dia &amp; length ( hold fast lugs or dash fastener shall be paid for separately). Second class teak wood </t>
  </si>
  <si>
    <t>9.7.7.1</t>
  </si>
  <si>
    <t>Providing and fixing panelling or panelling and glazing in panelled or panelled and glazed shutters for doors, windows and clerestory windows (Area of opening for panel inserts excluding portion inside grooves or rebates to be measured). Panelling for panelled or panelled and glazed shutters 25 mm to 40 mm thick : float glass panes,4 mm thick glass pane (weight not less than 10 kg/sqm).</t>
  </si>
  <si>
    <t>9.7.7.2</t>
  </si>
  <si>
    <t>Providing and fixing panelling or panelling and glazing in panelled or panelled and glazed shutters for doors, windows and clerestory windows (Area of opening for panel inserts excluding portion inside grooves or rebates to be measured). Panelling for panelled or panelled and glazed shutters 25 mm to 40 mm thick : float glass panes, 5 mm thick glass pane (weight not less than 12.5 kg per sqm)</t>
  </si>
  <si>
    <t>9.7.8</t>
  </si>
  <si>
    <t>Providing and fixing panelling or panelling and glazing in panelled or panelled and glazed shutters for doors, windows and clerestory windows (Area of opening for panel inserts excluding portion inside grooves or rebates to be measured). Panelling for panelled or panelled and glazed shutters 25 mm to 40 mm thick : 
Fly proof stainless steel grade 304 wire gauge with 0.5 mm dia. wire and 1.4 mm wide aperture with matching wood beading.</t>
  </si>
  <si>
    <t>9.20.1</t>
  </si>
  <si>
    <t>Providing and fixing ISI marked flush door shutters conforming to IS : 2202 (Part I) decorative type, core of block board construction with frame of 1st class hard wood and well matched teak 3 ply veneering with vertical grains or cross bands and face veneers on both faces of shutters. 35 mm thick including ISI marked Stainless Steel butt hinges with necessary screws</t>
  </si>
  <si>
    <t>9.23</t>
  </si>
  <si>
    <t xml:space="preserve">Extra for providing lipping with 2nd class teak wood battens 25 mm minimum depth on all edges of flush door shutters (over all area of door shutter to be measured). </t>
  </si>
  <si>
    <t>9.74.1</t>
  </si>
  <si>
    <t>Providing and fixing bright finished brass tower bolts (barrel type) with
necessary screws etc. complete :
250X10 mm</t>
  </si>
  <si>
    <t>9.74.3</t>
  </si>
  <si>
    <t>Providing and fixing bright finished brass tower bolts (barrel type) with
necessary screws etc. complete :
150X10 mm</t>
  </si>
  <si>
    <t>9.75.2</t>
  </si>
  <si>
    <t>Providing and fixing bright finished brass door latch with necessary screws etc. complete :
250x16x5 mm</t>
  </si>
  <si>
    <t>9.76</t>
  </si>
  <si>
    <t>Providing and fixing bright finished brass 100 mm mortice latch and lock with 6 levers and a pair of lever handles of approved quality with necessary screws etc. complete.</t>
  </si>
  <si>
    <t>9.81.1</t>
  </si>
  <si>
    <t>Providing and fixing bright finished brass handles with screws etc. complete:
125MM</t>
  </si>
  <si>
    <t>9.82</t>
  </si>
  <si>
    <t>Providing and fixing bright finished brass hanging type floor door stopper
with necessary screws, etc. complete.</t>
  </si>
  <si>
    <t>9.84</t>
  </si>
  <si>
    <t>Providing and fixing aluminium extruded section body tubular type universal hydraulic door closer (having brand logo with Is, IS : 3564, embossed on the body, door weight up to 36 kg to 80 kg and door width from 701 mm to 1000 mm), with double speed adjustment with necessary accessories and screws etc. complete.</t>
  </si>
  <si>
    <t>9.114.2</t>
  </si>
  <si>
    <t>Providing and fixing magnetic catcher of approved quality in cupboard / ward robe shutters, including fixing with necessary screws etc. complete.
Double strip (horizontal type)</t>
  </si>
  <si>
    <t>9.129</t>
  </si>
  <si>
    <t>Providing and fixing cup board shutters 25 mm thick, with Pre-laminated flat pressed three layer particle board or graded wood particle board IS: 12823 marked, exterior grade (Grade | Type Il), having one side
decorative lamination and other side balancing lamination, including IInd class teak wood lipping of 25 mm wide x12 mm thick with necessary screws and bright finished stainless steel piano hinges, complete as per
direction of the Engineer-in-Charge.</t>
  </si>
  <si>
    <t>9.147.A4.2</t>
  </si>
  <si>
    <t>Providing and fixing factory made uPVC glazed/wire mesh windows/doors comprising of lead free uPVC multi-chambered frame, sash and mullion/coupler (where ever required) extruded profiles having minimum wall thickness of 1.70 mm for Series R1 and R2 profiles and 2.10 mm for Series R3 and R4 profiles conforming to EN: 12608 in any shape,colour and design duly reinforced with galvanized mild steel section made of required shape &amp; size as per CPWD Specification, uPVC extruded glazing beads, interlocks and Inline sash adaptor (where ever required) of appropriate dimension, EPDM gasket, hardware, SS 304 grade fasteners of minimum 8 mm dia with countersunk head, comprising of matching polyamide PA6 grade sleeve for fixing frame to finished wall as per IS 1367 : Part 1 to 14, plastic packers, plastic caps and necessary stainless steel screws etc. Profile of frame, sash &amp; mullion (if required) shall be mitred cut and fusion welded/mechanically jointed duly sealed at all corners, including drilling of holes for fixing hardware and drainage of water etc. After fixing frame the gap between frame and adjacent finished wall shall be filled with weather proof silicon sealant over backer rod of approved size and quality, all complete as per approved drawing conforming to CPWD specification &amp; direction of Engineer-in-Charge. Section of steel reinforcement and cross sections of uPVC profiles to be as per design approved by Engineer-in-Charge. 
Wire mesh / Glazing of plain/ toughened/ laminated/ double glass unit with / without high performance coatings as per design requirements and conforming to IS: 3548 &amp; IS: 16231 shall be paid separately. 
Note:- Structural design proof checked from a Government Engineering Institute, to be provided by the manufacturer for :
(i) Sites with basic wind speed &gt; 45 m/sec as per IS 875 — Part 3 
(ii) Sites with structure height more than 20m for all wind speeds 
Three track three panels sliding window with two glazed &amp; one wire mesh panels with Aluminium channel for roller track, wool pile, nylon rollers with SS 304 body. 
Using R3 series with frame (98 mm &amp; above) x (40 mm &amp; above) &amp; both glazed and fly screen sash (30 mm &amp; above) x (55 mm &amp; above) with zinc alloy (Zamak) powder coated handle on every glazed panel along with multi-point locking system. (Height upto 1.8m).</t>
  </si>
  <si>
    <t>9.147.A4.3</t>
  </si>
  <si>
    <t>Providing and fixing factory made uPVC glazed/wire mesh windows/doors comprising of lead free uPVC multi-chambered frame, sash and mullion/coupler (where ever required) extruded profiles having minimum wall thickness of 1.70 mm for Series R1 and R2 profiles and 2.10 mm for Series R3 and R4 profiles conforming to EN: 12608 in any shape,colour and design duly reinforced with galvanized mild steel section made of required shape &amp; size as per CPWD Specification, uPVC extruded glazing beads, interlocks and Inline sash adaptor (where ever required) of appropriate dimension, EPDM gasket, hardware, SS 304 grade fasteners of minimum 8 mm dia with countersunk head, comprising of matching polyamide PA6 grade sleeve for fixing frame to finished wall as per IS 1367 : Part 1 to 14, plastic packers, plastic caps and necessary stainless steel screws etc. Profile of frame, sash &amp; mullion (if required) shall be mitred cut and fusion welded/mechanically jointed duly sealed at all corners, including drilling of holes for fixing hardware and drainage of water etc. After fixing frame the gap between frame and adjacent finished wall shall be filled with weather proof silicon sealant over backer rod of approved size and quality, all complete as per approved drawing conforming to CPWD specification &amp; direction of Engineer-in-Charge. Section of steel reinforcement and cross sections of uPVC profiles to be as per design approved by Engineer-in-Charge. 
Wire mesh / Glazing of plain/ toughened/ laminated/ double glass unit with / without high performance coatings as per design requirements and conforming to IS: 3548 &amp; IS: 16231 shall be paid separately. 
Note:- Structural design proof checked from a Government Engineering Institute, to be provided by the manufacturer for :
(i) Sites with basic wind speed &gt; 45 m/sec as per IS 875 — Part 3 
(ii) Sites with structure height more than 20m for all wind speeds 
Three track three panels sliding window with two glazed &amp; one wire mesh panels with Aluminium channel for roller track, wool pile, nylon rollers with SS 304 body. 
Using R4 series with frame (115 mm &amp; above) x (45 mm &amp; above) &amp; both glazed and fly screen sash (44 mm &amp; above) x (55 mm &amp; above) with zinc alloy (zamak) powder coated handle on every glazed panel along with multipoint locking system. (Height above 1.8m)</t>
  </si>
  <si>
    <t>9.147.B3.2</t>
  </si>
  <si>
    <t>Providing and fixing factory made uPVC glazed/wire mesh windows/doors comprising of lead free uPVC multi-chambered frame, sash and mullion/coupler (where ever required) extruded profiles having minimum wall thickness of 1.70 mm for Series R1 and R2 profiles and 2.10 mm for Series R3 and R4 profiles conforming to EN: 12608 in any shape,colour and design duly reinforced with galvanized mild steel section made of required shape &amp; size as per CPWD Specification, uPVC extruded glazing beads, interlocks and Inline sash adaptor (where ever required) of appropriate dimension, EPDM gasket, hardware, SS 304 grade fasteners of minimum 8 mm dia with countersunk head, comprising of matching polyamide PA6 grade sleeve for fixing frame to finished wall as per IS 1367 : Part 1 to 14, plastic packers, plastic caps and necessary stainless steel screws etc. Profile of frame, sash &amp; mullion (if required) shall be mitred cut and fusion welded/mechanically jointed duly sealed at all corners, including drilling of holes for fixing hardware and drainage of water etc. After fixing frame the gap between frame and adjacent finished wall shall be filled with weather proof silicon sealant over backer rod of approved size and quality, all complete as per approved drawing conforming to CPWD specification &amp; direction of Engineer-in-Charge. Section of steel reinforcement and cross sections of uPVC profiles to be as per design approved by Engineer-in-Charge. 
Wire mesh / Glazing of plain/ toughened/ laminated/ double glass unit with / without high performance coatings as per design requirements and conforming to IS: 3548 &amp; IS: 16231 shall be paid separately. 
Note:- Structural design proof checked from a Government Engineering Institute, to be provided by the manufacturer for :
(i) Sites with basic wind speed &gt; 45 m/sec as per IS 875 — Part 3 
(ii) Sites with structure height more than 20m for all wind speeds 
Three track three panels sliding door with two glazed &amp; one wire mesh panels with Aluminium channel for roller track, wool pile, zinc alloy (Zamak) powder coated handle on two panels along with multi-point locking system, adjustable nylon rollers with SS 304 body.
Using R4 series with frame (115 mm &amp; above) x (45 mm &amp; above) &amp; both glazed and fly screen sash (44 mm &amp; above) x (85 mm &amp; above). (Height above 2.5 metre).</t>
  </si>
  <si>
    <t>9.147.C2.3</t>
  </si>
  <si>
    <t>Providing and fixing factory made uPVC glazed/wire mesh windows/doors comprising of lead free uPVC multi-chambered frame, sash and mullion/coupler (where ever required) extruded profiles having minimum wall thickness of 1.70 mm for Series R1 and R2 profiles and 2.10 mm for Series R3 and R4 profiles conforming to EN: 12608 in any shape,colour and design duly reinforced with galvanized mild steel section made of required shape &amp; size as per CPWD Specification, uPVC extruded glazing beads, interlocks and Inline sash adaptor (where ever required) of appropriate dimension, EPDM gasket, hardware, SS 304 grade fasteners of minimum 8 mm dia with countersunk head, comprising of matching polyamide PA6 grade sleeve for fixing frame to finished wall as per IS 1367 : Part 1 to 14, plastic packers, plastic caps and necessary stainless steel screws etc. Profile of frame, sash &amp; mullion (if required) shall be mitred cut and fusion welded/mechanically jointed duly sealed at all corners, including drilling of holes for fixing hardware and drainage of water etc. After fixing frame the gap between frame and adjacent finished wall shall be filled with weather proof silicon sealant over backer rod of approved size and quality, all complete as per approved drawing conforming to CPWD specification &amp; direction of Engineer-in-Charge. Section of steel reinforcement and cross sections of uPVC profiles to be as per design approved by Engineer-in-Charge. 
Wire mesh / Glazing of plain/ toughened/ laminated/ double glass unit with / without high performance coatings as per design requirements and conforming to IS: 3548 &amp; IS: 16231 shall be paid separately. 
Note:- Structural design proof checked from a Government Engineering Institute, to be provided by the manufacturer for :
(i) Sites with basic wind speed &gt; 45 m/sec as per IS 875 — Part 3 
(ii) Sites with structure height more than 20m for all wind speeds 
Fixed window / ventilator with mullion / transom. 
Using R3 series with frame (55 mm &amp; above )x (45 mm &amp; above) &amp; mullion (55 mm &amp; above)x (65 mm &amp; above). (Height upto 2.5 metre)</t>
  </si>
  <si>
    <t>9.147.C2.4</t>
  </si>
  <si>
    <t>Providing and fixing factory made uPVC glazed/wire mesh windows/doors comprising of lead free uPVC multi-chambered frame, sash and mullion/coupler (where ever required) extruded profiles having minimum wall thickness of 1.70 mm for Series R1 and R2 profiles and 2.10 mm for Series R3 and R4 profiles conforming to EN: 12608 in any shape,colour and design duly reinforced with galvanized mild steel section made of required shape &amp; size as per CPWD Specification, uPVC extruded glazing beads, interlocks and Inline sash adaptor (where ever required) of appropriate dimension, EPDM gasket, hardware, SS 304 grade fasteners of minimum 8 mm dia with countersunk head, comprising of matching polyamide PA6 grade sleeve for fixing frame to finished wall as per IS 1367 : Part 1 to 14, plastic packers, plastic caps and necessary stainless steel screws etc. Profile of frame, sash &amp; mullion (if required) shall be mitred cut and fusion welded/mechanically jointed duly sealed at all corners, including drilling of holes for fixing hardware and drainage of water etc. After fixing frame the gap between frame and adjacent finished wall shall be filled with weather proof silicon sealant over backer rod of approved size and quality, all complete as per approved drawing conforming to CPWD specification &amp; direction of Engineer-in-Charge. Section of steel reinforcement and cross sections of uPVC profiles to be as per design approved by Engineer-in-Charge. 
Wire mesh / Glazing of plain/ toughened/ laminated/ double glass unit with / without high performance coatings as per design requirements and conforming to IS: 3548 &amp; IS: 16231 shall be paid separately. 
Note:- Structural design proof checked from a Government Engineering Institute, to be provided by the manufacturer for :
(i) Sites with basic wind speed &gt; 45 m/sec as per IS 875 — Part 3 
(ii) Sites with structure height more than 20m for all wind speeds 
Fixed window / ventilator with mullion / transom. 
Using R4 series with frame (64 mm &amp; above )x (50 mm &amp; above) &amp; mullion (64 mm &amp; above)x (70 mm &amp; above). (Height above 2.5 metre)</t>
  </si>
  <si>
    <t>9.165.2</t>
  </si>
  <si>
    <t>Providing and fixing bright /matt finished Stainless Steel handles of approved quality &amp; make with necessary screws etc all complete.
100mm</t>
  </si>
  <si>
    <r>
      <t xml:space="preserve">Steel work welded in built up sections/ framed work, including cutting, hoisting, fixing in position and applying a priming coat of approved steel primer using structural steel etc. as required. In gratings, frames, guard bar, ladder, railings, brackets, gates and similar works
</t>
    </r>
    <r>
      <rPr>
        <b/>
        <sz val="11"/>
        <color theme="1"/>
        <rFont val="Calibri"/>
        <family val="2"/>
        <scheme val="minor"/>
      </rPr>
      <t/>
    </r>
  </si>
  <si>
    <t>SUB HEAD :11.0 FLOORING</t>
  </si>
  <si>
    <t>11.23.5</t>
  </si>
  <si>
    <r>
      <t xml:space="preserve">Marble stone flooring with 18 mm thick marble stone, as per sample of marble approved by Engineer-in-charge, over 20 mm (average) thick base of cement mortar 1:4 (1 cement : 4 coarse sand) laid and jointed with grey cement slurry, including rubbing and polishing complete with: </t>
    </r>
    <r>
      <rPr>
        <b/>
        <sz val="12"/>
        <rFont val="Calibri"/>
        <family val="2"/>
        <scheme val="minor"/>
      </rPr>
      <t>Udaipur green marbles.</t>
    </r>
  </si>
  <si>
    <t>11.24</t>
  </si>
  <si>
    <t xml:space="preserve">Extra for pre finished nosing to treads of steps of marble stone. </t>
  </si>
  <si>
    <t>11.25</t>
  </si>
  <si>
    <t>Extra for marble stone flooring in treads of steps and risers using single length up to 2.00 metre.</t>
  </si>
  <si>
    <t>11.41A.3.1</t>
  </si>
  <si>
    <t xml:space="preserve">Providing and laying Vitrified tiles in floor in different sizes (thickness to be specified by the manufacturer) with water absorption less than 0.08% and conforming to 1S:15622, of approved brand &amp; manufacturer, in all colours and shade, laid on 20 mm thick cement mortar 1:4 (1 cement: 4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
Glazed Vitrified tiles Matt/Antiskid finish of size. 
Size of Tile 600 x 600 mm </t>
  </si>
  <si>
    <t>12.21.1</t>
  </si>
  <si>
    <t>Providing gola 75x75 mm in cement concrete 1:2:4 (1 cement : 2 coarse sand : 4 stone aggregate 10 mm and down gauge), including finishing with  cement mortar 1:3 (1 cement : 3 fine sand) as per standard design :  In 75x75 mm deep chase.</t>
  </si>
  <si>
    <t>12.22</t>
  </si>
  <si>
    <t>Making khurras 45x45 cm with average minimum thickness of 5cm cement concrete 1:2:4 (1 cement : 2 coarse sand : 4 graded stone aggregate of 20 mm nominal size) over P.V.C. sheet 1 m x1 m x 400 micron, finished with 12 mm cement plaster 1:3 (1 cement : 3 coarse sand) and a coat of neat cement, rounding the edges and making and finishing the outlet complete.</t>
  </si>
  <si>
    <r>
      <t xml:space="preserve">6 mm cement plaster of mix : 1:3 (1 cement: 3 fine sand)  </t>
    </r>
    <r>
      <rPr>
        <b/>
        <sz val="12"/>
        <rFont val="Calibri"/>
        <family val="2"/>
        <scheme val="minor"/>
      </rPr>
      <t>Note</t>
    </r>
    <r>
      <rPr>
        <sz val="12"/>
        <rFont val="Calibri"/>
        <family val="2"/>
        <scheme val="minor"/>
      </rPr>
      <t>: For Ceiling plaster and RCC exposed surfaces.</t>
    </r>
  </si>
  <si>
    <t>13.85.1</t>
  </si>
  <si>
    <t xml:space="preserve">Applying priming coat : With ready mixed pink or Grey primer of approved brand and manufacture on wood work (hard and soft wood) </t>
  </si>
  <si>
    <t>13.114</t>
  </si>
  <si>
    <t>Melamine polishing on wood work (one or more coat).</t>
  </si>
  <si>
    <t>SUB HEAD :17.0 SANITARY INSTALLATIONS</t>
  </si>
  <si>
    <t>17.7.4</t>
  </si>
  <si>
    <t>Providing and fixing wash basin with C.I. brackets, 15 mm C.P. brass pillar taps, 32 mm C.P. brass waste of standard pattern, including painting of fittings and brackets, cutting and making good the walls wherever require: White Vitreous China Flat back wash basin size 550x 400 mm with single 15 mm C.P. brass pillar tap</t>
  </si>
  <si>
    <t>17.10.1.2</t>
  </si>
  <si>
    <t>Providing and fixing Stainless Steel A ISI 304 (18/8) kitchen sink as per IS:13983 with C.I. brackets and stainless steel plug 40 mm,including painting of fittings and brackets, cutting and making good the walls wherever required :Kitchen sink with drain board :
17.10.1.2 510x1040 mm bowl depth 225 mm510x1040 mm bowl depth 200 mm</t>
  </si>
  <si>
    <t>17.28.2</t>
  </si>
  <si>
    <t>Providing and fixing P.V.C. waste pipe for sink or wash basin including P.V.C. waste fittings complete.Flexible pipe:</t>
  </si>
  <si>
    <t>17.28.2.1</t>
  </si>
  <si>
    <t xml:space="preserve">Flexibile pipe 32 mm dia </t>
  </si>
  <si>
    <t>17.28.2.2</t>
  </si>
  <si>
    <t xml:space="preserve">Flexibile pipe 40 mm dia </t>
  </si>
  <si>
    <t>17.31</t>
  </si>
  <si>
    <t>Providing and fixing 600x450 mm beveled edge mirror of superior glass (of approved quality) complete with 6 mm thick hard board ground fixed to wooden cleats with C.P. brass screws and washers complete.</t>
  </si>
  <si>
    <t>17.33</t>
  </si>
  <si>
    <t>Providing and fixing 600x120x5 mm glass shelf with edges round off, supported on anodised aluminium angle frame with C.P. brass brackets and guard rail complete fixed with 40 mm long screws, rawl plugs etc., complete.</t>
  </si>
  <si>
    <t>17.34.1</t>
  </si>
  <si>
    <t>Providing and fixing toilet paper holder :C.P. brass</t>
  </si>
  <si>
    <t>SUB HEAD : 18.0 WATER SUPPLY</t>
  </si>
  <si>
    <t>18.22.2</t>
  </si>
  <si>
    <t xml:space="preserve">Providing and fixing C.P. brass shower rose with 15 or 20 mm inlet :
150 mm diameter
</t>
  </si>
  <si>
    <t>18.53.1</t>
  </si>
  <si>
    <t xml:space="preserve">Providing and fixing C.P. brass angle valve for basin mixer and geyser points of approved quality conforming to IS:8931, 15 mm nominal bore
</t>
  </si>
  <si>
    <t>18.77</t>
  </si>
  <si>
    <t>Cutting holes up to 15x15 cm in R.C.C. floors and roofs for passing drain pipe etc. and repairing the hole after insertion of drain pipe etc. with cement concrete 1:2:4 (1 cement : 2 coarse sand : 4 graded stone aggregate 20 mm nominal size), including finishing complete so as to make it leak proof.</t>
  </si>
  <si>
    <t>22.3</t>
  </si>
  <si>
    <t xml:space="preserve">Providing and laying water proofing treatment to vertical and horizontal surfaces of depressed portions of W.C., kitchen and the like consisting of:
(i) Ist course of applying cement slurry @ 4.4 kg/sqm mixed with water proofing compound conforming to IS : 2645 in recommended proportions including rounding off junction of vertical and horizontal surface.
(ii) IInd course of 20 mm cement plaster 1:3 (1 cement : 3 coarse sand) mixed with water proofing compound in recommended proportion including rounding off junction of vertical and horizontal surface.
(iii) IIIrd course of applying blown or residual bitumen applied hot at 1.7 kg. per sqm of area.
(iv) IVth course of 400 micron thick PVC sheet. (Overlaps at joints of PVC sheet should be 100 mm wide and pasted to each other with bitumen @ 1.7 kg/sqm).
</t>
  </si>
  <si>
    <t>22.6</t>
  </si>
  <si>
    <t>Providing and laying water proofing treatment on roofs of slabs by applying cement slurry mixed with water proofing cement compound consisting of applying:
(a) after surface preparation, first layer of slurry of cement @ 0.488 kg/ sqm mixed with water proofing cement compound @ 0.253 kg/sqm.
(b) laying second layer of Fibre glass cloth when the first layer is still green. Overlaps of joints of fibre cloth should not be less than 10 cm.
(c) third layer of 1.5 mm thickness consisting of slurry of cement @ 1.289kg/sqm mixed with water proofing cement compound @ 0.670 kg/sqm and coarse sand @ 1.289 kg/sqm. This will be allowed to air cure for 4 hours followed by water curing for 48 hours. The entire treatment will be taken upto 30 cm on parapet wall and tucked into groove in parapet all around.
(d) fourth and final layer of brick tiling with cement mortar (which will be paid for separately).
For the purpose of measurement the entire treated surface will be measured.</t>
  </si>
  <si>
    <t>SUB HEAD : 26.0 NEW TECHNOLOGIES AND MATERIALS</t>
  </si>
  <si>
    <t>TOTAL FOR SCHEDULE ITEMS -CIVIL-FOR FIELD HOSTEL</t>
  </si>
  <si>
    <t>DSR 2022</t>
  </si>
  <si>
    <t>DSR 2022-SCHEDULE ITEMS - ELECTRICAL-FOR COMMUNITY CENTER</t>
  </si>
  <si>
    <t>1.10.3</t>
  </si>
  <si>
    <t>Wiring for light point/ fan point/ exhaust fan point/ call bell point with 1.5 sq.mm FRLS PVC insulated copper conductor single core cable in surface / recessed medium class PVC conduit, with modular switch, modular plate, suitable GI box and earthing the point with 1.5 sq.mm FRLS PVC insulated copper conductor single core cable etc. as required.
Group C</t>
  </si>
  <si>
    <t>Point</t>
  </si>
  <si>
    <t>1.55.3</t>
  </si>
  <si>
    <t>Wiring for group controlled (looped) light point/fan point/exhaust fan point/  call bell point ( without independent switch etc.) with 1.5 sq. mm FRLS PVC insulated copper conductor single core cable in surface/ recessed PVC conduit,  and earthing the point with 1.5 sq. mm FRLS PVC insulated copper conductor single core cable etc. as required.
Group C</t>
  </si>
  <si>
    <t>Wiring for twin control light point with 1.5 sq.mm FRLS PVC insulated copper conductor single core cable in surface / recessed medium class PVC conduit, 2 way modular switch, modular plate, suitable GI box and earthing the point with 1.5 sq.mm FRLS PVC insulated copper conductor single core cable etc. as required.</t>
  </si>
  <si>
    <t>1.14.2</t>
  </si>
  <si>
    <t>Wiring for circuit/ submain wiring along with earth wire with the following sizes of FRLS PVC insulated copper conductor, single core cable in surface/ recessed medium class PVC conduit as required. 
2 X 2.5 sq. mm + 1 X 2.5 sq. mm earth wire</t>
  </si>
  <si>
    <t>1.14.3</t>
  </si>
  <si>
    <t>Wiring for circuit/ submain wiring along with earth wire with the following sizes of FRLS PVC insulated copper conductor, single core cable in surface/ recessed medium class PVC conduit as required. 
2 X 4 sq. mm + 1 X 4 sq. mm earth wire</t>
  </si>
  <si>
    <t>1.14.4</t>
  </si>
  <si>
    <t>Wiring for circuit/ submain wiring alongwith earth wire with the following sizes of FRLS PVC insulated copper conductor, single core cable in surface/ recessed medium class PVC conduit as required.
2 X 6 sq. mm + 1 X 6 sq. mm earth wire</t>
  </si>
  <si>
    <t>1.24.1</t>
  </si>
  <si>
    <t>Supplying and fixing following modular switch/ socket on the existing modular plate &amp; switch box including connections but excluding modular plate etc. as required.
5/6 A switch</t>
  </si>
  <si>
    <t>1.24.3</t>
  </si>
  <si>
    <t>Supplying and fixing following modular switch/ socket on the existing modular plate &amp; switch box including connections but excluding modular plate etc. as required.
15/16 A switch</t>
  </si>
  <si>
    <t>1.24.4</t>
  </si>
  <si>
    <t>Supplying and fixing following modular switch/ socket on the existing modular plate &amp; switch box including connections but excluding modular plate etc. as required.
3 pin 5/6 A socket outlet</t>
  </si>
  <si>
    <t>1.24.5</t>
  </si>
  <si>
    <t>Supplying and fixing following modular switch/ socket on the existing modular plate &amp; switch box including connections but excluding modular plate etc. as required.
6 pin 15/16 A socket outlet</t>
  </si>
  <si>
    <t>Supplying and fixing two module stepped type electronic fan regulator on the existing modular plate switch box including connections but excluding modular plate etc. as required.</t>
  </si>
  <si>
    <t>1.27.1</t>
  </si>
  <si>
    <t xml:space="preserve">Supplying and fixing following size/ modules, GI box alongwith modular base &amp; cover plate for modular switches in recess etc.as required.
1 or 2 Module (75mmX75mm)
</t>
  </si>
  <si>
    <t>1.27.2</t>
  </si>
  <si>
    <t xml:space="preserve">Supplying and fixing following size/ modules, GI box alongwith modular base &amp; cover plate for modular switches in recess etc.as required.
3 Module (100mmX75mm)
</t>
  </si>
  <si>
    <t>1.27.3</t>
  </si>
  <si>
    <t xml:space="preserve">Supplying and fixing following size/ modules, GI box alongwith modular base &amp; cover plate for modular switches in recess etc.as required.
4 Module (125mmX75mm)
</t>
  </si>
  <si>
    <t>1.27.4</t>
  </si>
  <si>
    <t xml:space="preserve">Supplying and fixing following size/ modules, GI box alongwith modular base &amp; cover plate for modular switches in recess etc.as required.
6 Module (200mmX75mm)
</t>
  </si>
  <si>
    <t>2.3.3</t>
  </si>
  <si>
    <t>Supplying and fixing following way, single pole and neutral, sheet steel, MCB distribution board, 240 V, on surface/ recess, complete with tinned copper bus bar, neutral bus bar, earth bar, din bar, interconnections, powder painted including earthing etc. as required. (But without MCB/RCCB/Isolator)
12 way , Double door</t>
  </si>
  <si>
    <t>2.4.3</t>
  </si>
  <si>
    <t>Supplying and fixing following way, horizontal type three pole and neutral, sheet steel, MCB distribution board, 415 V, on surface/ recess, complete with tinned copper bus bar, neutral bus bar, earth bar, din bar, interconnections, powder painted including earthing etc. as required. (But without MCB/RCCB/Isolator)
8 way (4 + 24), Double door</t>
  </si>
  <si>
    <t>2.10.1</t>
  </si>
  <si>
    <t>Supplying and fixing 5 A to 32 A rating, 240/415 V, 10 kA, "C" curve, miniature circuit breaker suitable for inductive load of following poles in the existing MCB DB complete with connections, testing and commissioning etc. as required.
Single pole</t>
  </si>
  <si>
    <t>2.10.3</t>
  </si>
  <si>
    <t>Supplying and fixing 5 A to 32 A rating, 240/415 V, 10 kA, "C" curve, miniature circuit breaker suitable for inductive load of following poles in the existing MCB DB complete with connections, testing and commissioning etc. as required.
Double pole</t>
  </si>
  <si>
    <t>2.12.1</t>
  </si>
  <si>
    <t>Supplying and fixing following rating, double pole, 240 V,isolator in the existing MCB DB complete with connections, testing and commissioning etc. as required.
40 A</t>
  </si>
  <si>
    <t>2.14.1</t>
  </si>
  <si>
    <t>Supplying and fixing following rating, double pole, (single phase and neutral), 240 V, residual current circuit breaker (RCCB), having a sensitivity current 30 mA in the existing MCB DB complete with connections, testing and commissioning etc. as required.
25 A</t>
  </si>
  <si>
    <t>2.14.2</t>
  </si>
  <si>
    <t>Supplying and fixing following rating, double pole, (single phase and neutral), 240 V, residual current circuit breaker (RCCB), having a sensitivity current 30 mA in the existing MCB DB complete with connections, testing and commissioning etc. as required.
40 A</t>
  </si>
  <si>
    <t>2.14.3</t>
  </si>
  <si>
    <t>Supplying and fixing following rating, double pole, (single phase and neutral), 240 V, residual current circuit breaker (RCCB), having a sensitivity current 30 mA in the existing MCB DB complete with connections, testing and commissioning etc. as required.
63 A</t>
  </si>
  <si>
    <t>2.13.2</t>
  </si>
  <si>
    <t>Supplying and fixing following rating, four pole, 415 V, isolator in the existing MCB DB complete with connections, testing and commissioning etc. as required.
63 A</t>
  </si>
  <si>
    <t>9.1.24</t>
  </si>
  <si>
    <t>Supplying and making end termination with brass compression gland and aluminium lugs for following size of PVC insulated and PVC sheathed / XLPE aluminium conductor cable of 1.1 KV grade as required.
3½ X 95 sq. mm (45mm)</t>
  </si>
  <si>
    <t>TOTAL FOR SCHEDULE ITEMS - ELECTRICAL-FOR COMMUNITY CENTER</t>
  </si>
  <si>
    <t>DSR 2022-SCHEDULE ITEMS - ELECTRICAL-FOR FIELD HOSTEL</t>
  </si>
  <si>
    <t>1.53.1</t>
  </si>
  <si>
    <t>Supplying and drawing of UTP 4 pair CAT 6 LAN Cable in the existing surface/ recessed Steel/ PVC conduit as required.
1 run of cable</t>
  </si>
  <si>
    <t>1.18.2</t>
  </si>
  <si>
    <t>Supplying and drawing following pair 0.5 mm dia FRLS PVC insulated annealed copper conductor, unarmored telephone cable in the existing surface/ recessed steel/ PVC conduit as required.
2 Pair</t>
  </si>
  <si>
    <t>Supplying and drawing co-axial TV cable RG-6 grade, 0.7 mm solid copper conductor PE insulated, shielded with fine tinned copper braid and protected with PVC sheath in the existing surface/ recessed steel/ PVC conduit as required.</t>
  </si>
  <si>
    <t>1.21.1</t>
  </si>
  <si>
    <t>Supplying and fixing of following sizes of medium class PVC conduit along with accessories in surface/recess including cutting the wall and making good the same in case of recessed conduit as required.
20 mm</t>
  </si>
  <si>
    <t>1.21.2</t>
  </si>
  <si>
    <t>Supplying and fixing of following sizes of medium class PVC conduit along with accessories in surface/recess including cutting the wall and making good the same in case of recessed conduit as required.
25 mm</t>
  </si>
  <si>
    <t>1.24.6</t>
  </si>
  <si>
    <t>Supplying and fixing following modular switch/ socket on the existing modular plate &amp; switch box including connections but excluding modular plate etc. as required.
Telephone socket outlet</t>
  </si>
  <si>
    <t>1.24.7</t>
  </si>
  <si>
    <t>Supplying and fixing following modular switch/ socket on the existing modular plate &amp; switch box including connections but excluding modular plate etc. as required.
TV antenna socket outlet</t>
  </si>
  <si>
    <t>1.24.8</t>
  </si>
  <si>
    <t>Supplying and fixing following modular switch/ socket on the existing modular plate &amp; switch box including connections but excluding modular plate etc. as required.
Bell push</t>
  </si>
  <si>
    <t>2.5.3</t>
  </si>
  <si>
    <t>Supplying and fixing of following ways surface/ recess mounting, vertical type, 415 V, TPN MCB distribution board of sheet steel, dust protected, duly powder painted, inclusive of 200 A tinned copper bus bar, common neutral link, earth bar, din bar for mounting MCBs (but without MCBs and incomer ) as required . (Note : Vertical type MCB TPDB is normally used where 3 phase outlets are required.)
12 way (4 + 36), Double door</t>
  </si>
  <si>
    <t>2.2.14</t>
  </si>
  <si>
    <t>Providing and fixing following rating and breaking capacity and pole MCCB with thermomagnetic release and terminal spreaders in existing cubicle panel board including drilling holes in cubicle panel, making connections, etc. as required.
125 A,36KA,FPMCCB</t>
  </si>
  <si>
    <t>9.1.23</t>
  </si>
  <si>
    <t>Supplying and making end termination with brass compression gland and aluminium lugs for following size of PVC insulated and PVC sheathed / XLPE aluminium conductor cable of 1.1 KV grade as required.
3½ X 70 sq. mm (38mm)</t>
  </si>
  <si>
    <t>TOTAL FOR SCHEDULE ITEMS - ELECTRICAL-FOR FIELD HOSTEL</t>
  </si>
  <si>
    <t>Total of Schedule (CIVIL and E&amp; M) Items as per DSR 2021 excluding Rebate</t>
  </si>
  <si>
    <t xml:space="preserve"> Percentage (%) above/below +/- on DSR 2021 Rates excluding GST mentioned above (to be quoted by Bidder)</t>
  </si>
  <si>
    <t>Add Amount above/below +/- on the amount for DSR Items as per quoted percentage</t>
  </si>
  <si>
    <t>Total of Schedule I excluding GST considering offered % Rebate</t>
  </si>
  <si>
    <t>Total GST</t>
  </si>
  <si>
    <t>Schedule-II : Non-Scheduled Items</t>
  </si>
  <si>
    <t xml:space="preserve">Bidder’s Name </t>
  </si>
  <si>
    <t>SAC Code</t>
  </si>
  <si>
    <t>Whether SAC in column ‘2’ is confirmed. If not  indicate applicable the SAC #</t>
  </si>
  <si>
    <t>Description
(Non Schedule Items)</t>
  </si>
  <si>
    <t>Unit Rate without GST</t>
  </si>
  <si>
    <t>Total Amount</t>
  </si>
  <si>
    <t>Remarks</t>
  </si>
  <si>
    <t>10= 8 x 9</t>
  </si>
  <si>
    <t>11 = Appl GST% of 10</t>
  </si>
  <si>
    <t xml:space="preserve">A </t>
  </si>
  <si>
    <t>NON-SCHEDULE ITEMS: CIVIL-FOR COMMUNITY CENTER</t>
  </si>
  <si>
    <t>NS_1</t>
  </si>
  <si>
    <t>Diluting &amp; injecting chemical emulsion for   anti termite</t>
  </si>
  <si>
    <t>Diluting and injecting chemical emulsion (to be supplied under other item) for PRE-CONSTRUCTIONAL anti-termite treatment and creating a continuous chemical barrier under and around the columns pits, wall trenches, basement excavation, along the external perimeter of retaining wall, expansion joints, over top surface consolidated earth on which apron is to be laid, surroundings of pipes and conduits etc., complete as per specifications.  Chlorpyriphos/ Lindane emulsifiable concentrate 20% with 1% concentration. (cost of Chlorpyriphos/ Lindane emulsifiable concentrate shall be paid separately. Basement floor slab area of the building only shall be measured for payment)</t>
  </si>
  <si>
    <t>NS_2</t>
  </si>
  <si>
    <t>Door Handle 19 mm dia 200 mm</t>
  </si>
  <si>
    <t>Providing and fixing Door handles satin finish 19mm x 200mm long Dorma/ozon/Crif/dorset or equivalent make  including the cost of all material, labour, transportation, taxes, incidentals etc. as per the directions and instructions of Engineer-in-Charge.</t>
  </si>
  <si>
    <t>NS_3</t>
  </si>
  <si>
    <t>Door Handle 22 mm dia  300 mm</t>
  </si>
  <si>
    <t>Providing and fixing Door handles satin finish 22 mm x 300mm long Dorma/ozon/Crif/dorset or equivalent make  including the cost of all material, labour, transportation, taxes, incidentals etc. as per the directions and instructions of Engineer-in-Charge.</t>
  </si>
  <si>
    <t>NS_4</t>
  </si>
  <si>
    <t>Door Handle 25 mm dia 450 mm</t>
  </si>
  <si>
    <t>Providing and fixing Door handles satin finish 25mm x 450mm long Dorma/ozon/Crif/dorset or equivalent make  including the cost of all material, labour, transportation, taxes, incidentals etc. as per the directions and instructions of Engineer-in-Charge.</t>
  </si>
  <si>
    <t>NS_5</t>
  </si>
  <si>
    <t xml:space="preserve">Wooden Flooring For Badminton Court </t>
  </si>
  <si>
    <t>Supplying, fitting and fixing 8mm thick Laminated wooden Flooring Work conforming to EN13329:2006 with plank size not Iess than 1200 mm X 190 mm (with unilin/tongue-groove locking arrangement) having 0.2mm thk top abrasive layer over a decorative layer followed by a High-density fibreboard (HDF) having density &gt; 850 kg/m3 substrate core over a rasin saturated backing layer and installing through unilin or tongue- groove system (having locking strength not less than 1000 kg/m) over a 2 mm thk underlayer polyurethene foam on polythene sheet 250 micron, over a smooth, flat, hard subfloor free from moisture (&lt; 8%), grease etc. complete in all respect with requisite accessories like end profile, transition profile, reducer 'T' profile etc. wherever required and preparation of base including all other incidental works as per direction &amp; satisfaction of Engineer in charge. Cost of Laminate Floor Accessories only (Skirting ,End edge, T- moulding,Reducer) shall have to be added separately, wherever required. (This work should not be executed without specific permission of Superintending Engineer).   
make:-PERGO /UNITEX / ARMSTRONG or equivalent.</t>
  </si>
  <si>
    <t>NS_6</t>
  </si>
  <si>
    <t>Clay brick tiles for exterior cladding</t>
  </si>
  <si>
    <t xml:space="preserve">Providing AND fixing machine moulded Clay Brick tiles cladding made up of terracotta colour of size 220-240 x 70-80 x 8-10 mm with the water absorbtion less that 14% to be fixed with cement based high polymer modified quick-set tile adhesive (Water based) conforming to IS: 15477, in average 6 mm average thickness on wall and 7-10 mm thick groove making by required spacer in proper alignment with grouting with white colour/matching pigment exterior tile grout material  in required pattern and design and fixing properly on the Exterior walls in proper aligment to give aesthetic texture design as per architectural drawing and at any height  as per the directions of  engineer - incharge. 
Make : LT/ J.J.B/  J.m.B/  Pioneer Bricks    </t>
  </si>
  <si>
    <t>NS_7</t>
  </si>
  <si>
    <t>CNC cut alumunium pannels for Duct</t>
  </si>
  <si>
    <t>Designing, Supplying, Assembling / fabricating, Installation, finishing, testing and fixing in position of 4mm thick 6063 T6 Aluminium with Laser / CNC Cut Elevational Panels (Jali design) of approved make, color, shape, size &amp; design and to have monotonous span without joint as per  specifications &amp; standards with a warranty of 10 years. Fixing of the same to be done on a supporting frame of 50 mm X 50 mm X 3 mm M.S tube and fixed to building structure as per design through 50mmX50mmX mm 5 mm MS angle cleat prefixed to masonry slab or columns with Hilti make anchor fastener along with all related hardware and fixtures. The panel should then be fixed on the M.S. Tube as per architectural drawings or as directed by Engineer-in-charge. Each panel should be riveted on substructure maintaining a gap of 6mm on all the sides between each Panel for Air circulation and expansion and contraction as per installation specifications provided by the Designer/Contractor. The cost shall include all expenses related to storage, material handling, lifting, freight, labour, scaffolding etc as directed by Engineer-in-charge. The product composition to be Aluminium with extended exterior coatings and with a warranty for coating of 10 years. The assmbly to be fixed using 19mm SS 316 (10mm or 20mm), Coloured 22mm Wafer Head Screws, Aluminium rivets etc complete to the satisfaction of the Architect &amp; Engineer in charge and as per directions.  
(M.S. Work to be paid separately).</t>
  </si>
  <si>
    <t>NS_8</t>
  </si>
  <si>
    <t xml:space="preserve">Polycarbonated Sheet  </t>
  </si>
  <si>
    <t xml:space="preserve">Providing fixing &amp; Installation of Atrium Skylights / domes to be made out of coloured Multi-cell heavy duty Polycarbonate Sheets with U.V coating of Lexan or equivalent approved make, 16mm thk of approved colour &amp; design including necessary fixing arrangements, assessories, hardware, bolts etc complete as per manufactures specifications &amp; installation standards as per the technical specifications. (M.S. Work to be paid separately).
</t>
  </si>
  <si>
    <t>NS_9</t>
  </si>
  <si>
    <t>Rubber flooring for Gymnasium</t>
  </si>
  <si>
    <t>Providing and fixing Anti-static, Anti-slip even when wet surface, durable, flexible Rubber flooring suitable for GYM/Sports complex of size 500 x 500 mm minimum with thickness of 15 mm should be laid on the top of the PCC in desired pattern or as per the instruction directed by an engineer incharge.
Make: Vinex/Tugania or equivalent.</t>
  </si>
  <si>
    <t>SQFT</t>
  </si>
  <si>
    <t>NS_10</t>
  </si>
  <si>
    <t>filling in plith floor</t>
  </si>
  <si>
    <t xml:space="preserve">Supplying and filling in plinth with crushed stone sand / river sand under floors, including watering, ramming, consolidating and dressing complete. </t>
  </si>
  <si>
    <t>NS_11</t>
  </si>
  <si>
    <t>Brick work up to plinth</t>
  </si>
  <si>
    <t>Brick work with common burnt clay F.P.S. (non modular) bricks of class designation 7.5 (75kg/sq.cm)in foundation and plinth in Cement mortar 1:6 (1 cement : 6 coarse sand).
Note: Fly ash brick of same class confirming to relevant IS code can also be used if clay bricks of designated class are not available.</t>
  </si>
  <si>
    <t>NS_12</t>
  </si>
  <si>
    <t>Brick work above plinth</t>
  </si>
  <si>
    <t>Brick work with common burnt clay F.P.S. (non modular) bricks of class designation 7.5 (75kg/sq,cm) in superstructure above plinth level up to floor V level in all shapes and sizes in : Cement mortar 1:6 (1 cement : 6 coarse sand) 
Note: Fly ash brick of same class confirming to relevant IS code can also be used if clay bricks of designated class are not available.</t>
  </si>
  <si>
    <t>NS_13</t>
  </si>
  <si>
    <t>half Brick work above plinth</t>
  </si>
  <si>
    <t>Half brick masonry with common burnt clay F.P.S. (non modular) bricks of class designation 7.5 (75kg/sq,cm) in superstructure above plinth level up to floor V level. Cement mortar 1:4 (1 cement :4 coarse sand).
Note: Fly ash brick of same class confirming to relevant IS code can also be used if clay bricks of designated class are not available.</t>
  </si>
  <si>
    <t>NS_14</t>
  </si>
  <si>
    <t>Chicken wire mesh for plaster</t>
  </si>
  <si>
    <t xml:space="preserve">Providing &amp; fixing chicken wire mesh  24 gauge at junctions of RCC and masonry walls including fixing in position, scaffolding etc. complete as directed by Engineer-in-charge. </t>
  </si>
  <si>
    <t>NS_15</t>
  </si>
  <si>
    <t>Groove work in plaster</t>
  </si>
  <si>
    <t>Forming groove of uniform size from 12x12mm and up to 25x15mm in plastered surface as per approved pattern using wooden battens, nailed to the under layer including removal of wooden battens, repairs to the edges of plaster panel and finishing the groove complete as per specifications/drawings and direction of Engineer-in-Charge.</t>
  </si>
  <si>
    <t>NS_16</t>
  </si>
  <si>
    <t>MS sheet box for ceiling Fan</t>
  </si>
  <si>
    <t>Providing and fixing circular/ Hexagonal cast iron or M.S. sheet box for ceiling fan clamp with its top surface hacked for proper bonding, top lid shall be screwed into the  M.S. sheet box . Clamp shall be made of 12mm dia M.S. bar bent to shape.</t>
  </si>
  <si>
    <t>NS_17</t>
  </si>
  <si>
    <t>Vetrifeid wall tiles size 600X600</t>
  </si>
  <si>
    <t xml:space="preserve">Providing and laying ist quality Vitrified wall tiles in different sizes (thickness to be specified by the manufacturer) with water absorption less than 0.08% and conforming to 1S:15622, of approved brand &amp; manufacturer, in all colours and shade, in skirting, riser, and dado laid on 12 mm thick cement mortar 1:3 (1 cement: 3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
Glazed vitrified floor tiles polished finish of size.
Size of Tile 600 x 600 mm </t>
  </si>
  <si>
    <t>NS_18</t>
  </si>
  <si>
    <t>Vetrifeid wall tiles size 1200X1200</t>
  </si>
  <si>
    <t xml:space="preserve">Providing and laying Vitrified wall tiles in different sizes (thickness to be specified by the manufacturer) with water absorption less than 0.08% and conforming to 1S:15622, of approved brand &amp; manufacturer, in all colours and shade, in skirting, riser and dado laid on 12 mm thick cement mortar 1:3 (1 cement: 3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
Glazed vitrified floor tiles polished finish of size.
Size of Tile 600 x 1200 mm </t>
  </si>
  <si>
    <t>NS_19</t>
  </si>
  <si>
    <t>SWR pipe 110 mm</t>
  </si>
  <si>
    <t>Providing, fixing , laying, testing &amp; commissioning (Concealed/surface mounted or underground) uPVC SWR Rigid pipes confirming to IS 13592 Type B of PRICE/SUPREME/FINOLEX or equivalent make  for drainage line including necessary fittings such as couplers, bends, tees, cross tees, cowls, 2way/3way junction of any degree,clamps, rubber packing ring, acess door etc. wherever required confirming to  IS-14735, joining with adhessive solvent cement including cost of jointing materials and all other necessary fixtures, fitting, air and water tight testing of the line etc. complete at all levels. (Centre line length of completed pipe line shall be measured for payment purpose)
(B) 110mm outer dia.</t>
  </si>
  <si>
    <t>NS_20</t>
  </si>
  <si>
    <t>SWR pipe 75 mm</t>
  </si>
  <si>
    <t>Providing, fixing , laying, testing &amp; commissioning (Concealed/surface mounted or underground) uPVC SWR Rigid pipes confirming to IS 13592 Type B of PRICE/SUPREME/FINOLEX or equivalent make  for drainage line including necessary fittings such as couplers, bends, tees, cross tees, cowls, 2way/3way junction of any degree,clamps, rubber packing ring, acess door etc. wherever required confirming to  IS-14735, joining with adhessive solvent cement including cost of jointing materials and all other necessary fixtures, fitting, air and water tight testing of the line etc. complete at all levels. (Centre line length of completed pipe line shall be measured for payment purpose)
(B) 75mm outer dia.</t>
  </si>
  <si>
    <t>NS_21</t>
  </si>
  <si>
    <t>Nahani/floor Trap</t>
  </si>
  <si>
    <t>Providing, fixing, testing and commissioning uPVC SWR self cleaning Nahani trap, plain floor trap/ Multi floor trap etc. confirming to IS-14735 of 110 mm dia inlet and 75 mm outlet nominal dia. including fixing PVC reducer of 110mm dia. to 75 mm dia. and jointing with adhessive solvent cement including cost of cutting and making good the walls and floors at all levels etc. complete.</t>
  </si>
  <si>
    <t>NS_22</t>
  </si>
  <si>
    <t>Window SS jali for sliding</t>
  </si>
  <si>
    <t>Providing and fixing stainless steel 304 grade mesh of average width of aperture 1.4 mm and nominal dia of wire 0.50 mm to uPVC/aluminium windows with suitable beading/clips a as per drawings and as directed by engineer in charge. The uPVC/aluminium section of windows shall be measured under relevant items. Actual area of mesh provided shall be measured for payment.</t>
  </si>
  <si>
    <t>toilet sanitary fittings</t>
  </si>
  <si>
    <t>NS_23</t>
  </si>
  <si>
    <t>WC europian floor mounted with cistern</t>
  </si>
  <si>
    <t>Providing and fixing white vitreous china pedestal type water closet (European type W.C. pan) with seat and lid, 10 litre low level white P.V.C. flushing cistern, including flush pipe, with dual flush system, conforming to IS : 7231, with all fittings and fixtures complete including cutting and making good the walls and floors wherever required : W.C. pan with ISI marked white solid plastic seat and lid . Make : Hindware model :Cube standard closet -20092 +sleek fresh dual flush tank-510411 or equivalant.</t>
  </si>
  <si>
    <t>NS_24</t>
  </si>
  <si>
    <t>urinal with flush</t>
  </si>
  <si>
    <t>Providing and fixing white vitreous china flat back urinal of size 385x325x635 mm with back inlet with auto closing concealed urinal valve with wall flange  with necessary fittings (all in C.P. brass) including cutting and making good the walls wherever required complete as per direction by Engineer-in-charge.Make: Jaquar model: URS-WHT-13253N + PRS-CHR-073 or equivalent.
Note:- No extra charge for fixing urinal inlet or outlet to the wall.</t>
  </si>
  <si>
    <t>NS_25</t>
  </si>
  <si>
    <t>Urinal Partitions</t>
  </si>
  <si>
    <t xml:space="preserve">Providing and fixing urinal partition in curved shape with frosted Glass with 8 mm thickness with chrome finish as per manufacture specification of size 900X450 mm with necessary fittings SS 304 plates for proper fixing including making good to the walls wherever required complete as per direction of Engineer-In-Charge.
Make: Jaquar model: JSE-CHR-110UC450X or equivalent.  </t>
  </si>
  <si>
    <t>NS_26</t>
  </si>
  <si>
    <t>Under Counter wash basin</t>
  </si>
  <si>
    <t xml:space="preserve">Providing and fixing premium quality under-counter wash basin of any shape minimum size 605X410X200 mm including  Pillar cock auto closing pressmatic Taps Faucet  with  Click Clack Waste coupling, over flow hole,  standard C.P. bottel trap, union, Long Braided Hose and all chrome finish and making necessary holes for fixing of pillar coack with all other fittings and fixtures complete including cuttings and making good the walls and floor wherever required as per manufacturers specification and direction of Engineer-in-charge.  Make : Jaquar model :FNS-WHT-40701 +PRS-CHR-031L65+ ALD-CHR-729 + ALD-CHR-769L300X190 + ALD-CHR-803AB or equivalant. </t>
  </si>
  <si>
    <t>NS_27</t>
  </si>
  <si>
    <t>Two way bib cock with health fucet</t>
  </si>
  <si>
    <t>Providing and fixing CP Brass 2 way Bib cock with wall flange and Health faucet, flexible hose pipe and wall hook complete. Jaguar FLR-CHR-5041N for Bib cock &amp; ALD-CHR-563 for health facet or equivalent model of approved brands.</t>
  </si>
  <si>
    <t>NS_28</t>
  </si>
  <si>
    <t>Angle Valve</t>
  </si>
  <si>
    <t xml:space="preserve">Providing  and  fixing premium quality C.P.  brass  angle  valve with cover plate  for  WCs, Wash  basin, health Faucet  etc as per  approved quality 15 mm nominal bore  &amp; as per manufacturers specification and direction of Engineer-in-charge. Make : Jaquar model : FLR-CHR-5053N  or equivalant </t>
  </si>
  <si>
    <t>NS_29</t>
  </si>
  <si>
    <t>Toilet paper Holder</t>
  </si>
  <si>
    <t xml:space="preserve">Providing and fixing   premium quality C.P. Toilet Paper Holder  of standard shape and size  complete in all respect as per manufacturers specification and direction of Engineer-in-charge. Make :  Jaquar  Model: AKP-CHR-35753PS or equivalent.  </t>
  </si>
  <si>
    <t>NS_30</t>
  </si>
  <si>
    <t>Grab Bar</t>
  </si>
  <si>
    <t xml:space="preserve">Providing and fixing   premium quality C.P. Grab Bar 450 mm long of standard shape and size  complete in all respect as per manufacturers specification and direction of Engineer-in-charge. Make :  Jaquar  Model: AHS-CHR-1503 or equivalent.  </t>
  </si>
  <si>
    <t>NS_31</t>
  </si>
  <si>
    <t>Stop Coack with Fiitings</t>
  </si>
  <si>
    <t>Providing and fixing premium quality  CP Brass concelead stop coack chrome finish with fitting sleeve, operating lever &amp; adjustable wall flange with seal with Concealed Body of Flush Cock Suitable for 25mm Pipe Line with Protection Cap of standard shape as approved quality with all fittings and fixtures complete including cutting and making good the walls  complete to  in all respect as per manufacturers specification and direction of Engineer-in-charge. Make : Jaquar model :FLR-CHR-5083NK + ALD-081 or equivalant.</t>
  </si>
  <si>
    <t>NS_32</t>
  </si>
  <si>
    <t>SS jali for nahani with cockrage trap</t>
  </si>
  <si>
    <t xml:space="preserve">Providing and fixing 125 mm dia  stainless (SS304)  matt finsh steel jali (grating) with or without hole consisting  four piece system with  Cockroach Trap, and frame thickness 1mm &amp; grating thickness 1.5 mm for waste pipe of floor or Nahani trap complete   in all respect as per manufacturers specification and direction of Engineer-in-charge. Make : Nirali/Lipka/ Viking/Roca/Jaquar/Kohler or equivalent. </t>
  </si>
  <si>
    <t>NS_33</t>
  </si>
  <si>
    <t>CPVC Ball Valve 25 mm dia</t>
  </si>
  <si>
    <t>Providing and fixing CPVC Ball Valve 25 mm dia with lever arm conforming to SDR 11 pressure class as per ASTM D – 2846 of PRICE/SUPREME/FINOLEX or equivalent make  joining with adhessive solvent cement including cost of jointing materials and all other necessary fixtures, fitting, air and water tight testing etc. complete at all levels.</t>
  </si>
  <si>
    <t>NS_34</t>
  </si>
  <si>
    <t>CPVC Ball Valve 32 mm dia</t>
  </si>
  <si>
    <t>Providing and fixing CPVC Ball Valve 32 mm dia with lever arm conforming to SDR 11 pressure class as per ASTM D – 2846 of PRICE/SUPREME/FINOLEX or equivalent make  joining with adhessive solvent cement including cost of jointing materials and all other necessary fixtures, fitting, air and water tight testing etc. complete at all levels.</t>
  </si>
  <si>
    <t>NS_35</t>
  </si>
  <si>
    <t>CPVC Ball Valve 40 mm dia</t>
  </si>
  <si>
    <t>Providing and fixing CPVC Ball Valve 40 mm dia with lever arm conforming to SDR 11 pressure class as per ASTM D – 2846 of PRICE/SUPREME/FINOLEX or equivalent make  joining with adhessive solvent cement including cost of jointing materials and all other necessary fixtures, fitting, air and water tight testing etc. complete at all levels.</t>
  </si>
  <si>
    <t>NS_36</t>
  </si>
  <si>
    <t>CPVC Ball Valve 50 mm dia</t>
  </si>
  <si>
    <t>Providing and fixing CPVC Ball Valve 50 mm dia with lever arm conforming to SDR 11 pressure class as per ASTM D – 2846 of PRICE/SUPREME/FINOLEX or equivalent make  joining with adhessive solvent cement including cost of jointing materials and all other necessary fixtures, fitting, air and water tight testing etc. complete at all levels.</t>
  </si>
  <si>
    <t>TOTAL FOR NON-SCHEDULE ITEMS: CIVIL-FOR COMMUNITY CENTER</t>
  </si>
  <si>
    <t>NON-SCHEDULE ITEMS: CIVIL-FOR FIELD HOSTEL</t>
  </si>
  <si>
    <t>Exterior texture paint like Precast concrete pattern</t>
  </si>
  <si>
    <t>Providing  and  applying  Texture  paint (in concrete texture )  with  finishing  with,primer,  texture  material , exterior colour paint of  approved make  in 3 to 4 millimeter  thickness on plastered surface, including Tape  Grooves  10-12 mm thickness  or  as  required or as per direction engineer in charge,  in  all  position including preparing the surface, scaffolding at any height etc. complete. the following steps to be carried out.
1) Prepairing and cleaning of the plastered surface.
2) Apply exterior water based cement primer on plastered suface (Make asian paint or equivalent).
3) Apply textural materials by trowel 1st coat (make asian paint archi concrete texture or equivalent).
4) after drying of 1st coat making groove by tape 12 mm  width and hole like precast concrete pattern of size as per drawings/manufacturere drawings and as per direction of engineer in charge.
5) Apply Texture materials (make Asian paint archi concrete or equivalent) 2nd coat and making texture like precast concrete pattern.
6) Apply protective coat on texture 1st coat of make asian paint royal play protective coat or equivalent.
7) Apply tinted protective coat make asian paint royal play or equivalent with the help of sponge and roller to give desired texture.
8) after drying remove all the tapes carefully and make sure the texture doest peel off.
9) apply dark colour in grooves and holes carefully and make sure groove paint will not  effect the texture.</t>
  </si>
  <si>
    <t>Polycarbonated Sheet for Pergolas and Porch Dome</t>
  </si>
  <si>
    <t>Sunken filling with 40 mm dia pipe spout</t>
  </si>
  <si>
    <t>Providing and placing  cinder/brick bat or any light weight water absorbing materials  filling  to the sunk floors in toilets/kitchen sunks, well compacted carefully by hand beating to required slopes including consolidation,making hole or core to the beam/wall for providing 40mm dia PVC drain (spout pipe) pipe of required length, pipe should be fixed properly to the beam or wall with water proofing compound with cover the inlet pipe mouth with SS jali and packing with 40/20/10 mm stone aggregate with sufficent quantity. For toilet and Kitchen sunkun portions.</t>
  </si>
  <si>
    <t>Vetrifeid wall tiles size 600X600 antiskid</t>
  </si>
  <si>
    <t>Providing, fixing, testing and commissioning uPVC SWR self cleaning Nahani trap, plain floor trap/ Multi floor trap etc. of 110 mm dia inlet and 75 mm outlet nominal dia. including fixing PVC reducer of 110mm dia. to 75 mm dia. and jointing with adhessive solvent cement including cost of cutting and making good the walls and floors at all levels etc. complete.
make:-supreme/finolex/prince or equivalent.</t>
  </si>
  <si>
    <t>wall Mixer for normal Toilets</t>
  </si>
  <si>
    <t xml:space="preserve">Providing &amp; Fixing CP Brass Wall mixture of Jaguar Model No. 5281 or equivalent models from other specified brands with standard length bend for overhead shower.
</t>
  </si>
  <si>
    <t>Soap Dish for normal Toilets</t>
  </si>
  <si>
    <t>Providing and fixing C.P. brass Soap dish Jaguar Model 1131N or equivalent of approved brands including required screws, rawl plugs etc. complete.</t>
  </si>
  <si>
    <t>Towel Rail for normal toilets</t>
  </si>
  <si>
    <t>P&amp;F CP towel rail 600mm long, 20mm dia of Jaguar Model 1111NN or equivalent of other approved brands</t>
  </si>
  <si>
    <t>Kitchen Sink tape</t>
  </si>
  <si>
    <t>P&amp;F CP Brass wall mounted two in one Sink cock with regular swinging spout &amp; operating knob on right hand side with wall flanges. 15mm Nominal Bore. The Jaguar Make model No. SOL-CHR-6347NSE / Parryware model No. T4635A or equivalent from other specified brands.</t>
  </si>
  <si>
    <t>Parking Tiles</t>
  </si>
  <si>
    <t>Providing and laying parking tiles  of minimum 25m thickness over cement mortar bas  1:4 (1 cement : 4 Coarse sand).  The tiles shall be of reputed brand like Eurocon or equivalent and having minimum compressive strength of 30 N/Sqmm.</t>
  </si>
  <si>
    <t>Shower Basket small</t>
  </si>
  <si>
    <t>Providing and fixing   premium quality  CP Brass shower basket small chrome finish of standard shape as approved quality and colour complete in all respect as per manufacturers specification and direction of Engineer-in-charge. Make : Jaquar model :ACN-CHR-1177N or equivalant.</t>
  </si>
  <si>
    <t>Providing and fixing premium quality  CP Brass concelead stop coack chrome finish with fitting sleeve, operating lever &amp; adjustable wall flange with seal with Concealed Body of Flush Cock Suitable for 25mm Pipe Line with Protection Cap of standard shape as approved quality with all fittings and fixtures complete including cutting and making good the walls  complete to  in all respect as per manufacturers specification and direction of Engineer-in-charge. Make : Jaquar model :FUS-CHR-29083K + ALD-081 or equivalant.</t>
  </si>
  <si>
    <t>SS jali for nahani for toilet with cockrage trap</t>
  </si>
  <si>
    <t>TOTAL FOR NON-SCHEDULE ITEMS: CIVIL-FOR FIELD HOSTEL</t>
  </si>
  <si>
    <t>B</t>
  </si>
  <si>
    <t>NON-SCHEDULE ITEMS:ELECTRICAL FOR COMMUNITY CENTER</t>
  </si>
  <si>
    <t>10W 2 feet Bollard Light</t>
  </si>
  <si>
    <t>Supply, installation, connection, testing and commissioning of 10W 2 FEET BOLLARD LIGHT fitting  ( Similar to Wipro Fantasy Bollard LED LB14)</t>
  </si>
  <si>
    <t>7W to 9W LED above mirror Light</t>
  </si>
  <si>
    <t>Supplying and erecting LED mirror light with integrated driver including 7W to 9W lamp with polycarbonate housing and opal diffuser to be fixed above mirror or as required on clamps complete   .( Similar to Murphy 6W 3-IN-1 Rose Gold Finish Mirror Light)</t>
  </si>
  <si>
    <t>10W LED Decorative light</t>
  </si>
  <si>
    <t>Supplying and erecting 10W LED decorative spike light Fitting ( Similar toPhilips Garden Spike 919215851215)</t>
  </si>
  <si>
    <t>15w Down light</t>
  </si>
  <si>
    <t>Supply, installation, connection, testing and commissioning of LED square / circular 15W down lighter having pressure die-cast aluminium housing, opal translucent cover, mounting arrangement with board for surface type or spring loaded mounting clips for flush type complete.  ( Similar to Murphy MLDL-CBLS-15CW-1)</t>
  </si>
  <si>
    <t>Ceiling Fan</t>
  </si>
  <si>
    <t>Supply, installation, connection, testing and commissioning of Five Star Rated Energy Saving Ceiling Fan (4'/1200 mm dia) along with necessary hardware &amp; accessories, etc. ( Similar to Havells Aspire FSCAPSTMSB48)</t>
  </si>
  <si>
    <t>LED Strip Light 5W/M</t>
  </si>
  <si>
    <t>Supply, installation, connection, testing and commissioning of LED strip light 5W/m for surface type or flush type. ( Similar to Murphy LED ROPE LIGHT 120 LED Warm White)</t>
  </si>
  <si>
    <t>5W Down Light</t>
  </si>
  <si>
    <t>Supply, installation, connection, testing and commissioning of LED circular 5W down lighter having pressure die-cast aluminium housing, mounting arrangement with board for surface type or spring loaded mounting clips for flush type complete. ( Similar to Murphy MLAC-COB-CRYSTAL-BL-ROSE-GOLD-6W-WW-01)</t>
  </si>
  <si>
    <t>5W outdoor LED Decorative light</t>
  </si>
  <si>
    <t>Supplying and erecting decorative Outdoor Wall Mount 5W LED luminaire Fitting</t>
  </si>
  <si>
    <t>Exaust Fan Heavy duty 250V</t>
  </si>
  <si>
    <t>Supply, installation, connection, testing and commissioning of Exhaust fan of light duty250 V A.C. 50 cycles 225mm. 1400 RPM rust proof body &amp; blades, wiremesh, duly erected in an approved manner and marking .( Similar to Havells Ventil Air DX 250mm)</t>
  </si>
  <si>
    <t>180W heavy duty Fan</t>
  </si>
  <si>
    <t>Supply, installation, connection, testing and commissioning of 180W heavy duty fan of 250 V A.C. 50 cycles 600mm. Metal blade rust proof body &amp; blades, duly erected in an approved manner and marking .( Similar to Almonard 180 W Fan)</t>
  </si>
  <si>
    <t>300W LED Flood light</t>
  </si>
  <si>
    <t>Supply, installation, connection, testing and commissioning of 300W LED circular flood light having pressure die-cast aluminium housing, mounting arrangement with board for surface type installation ( Similar to Syska Led Flood Light BLE Model 300W)</t>
  </si>
  <si>
    <t>T8 LED Tube Light</t>
  </si>
  <si>
    <t>Supply, installation, connection, testing and commissioning of T8 LED 20W  4 feet tube light fitting with aluminium housing, heat sink, integrated HF electronic driver complete (THD&lt;15%)( including lamp). ( Similar to Philips Slimline Super Bright LED Tube Light 919415920162)</t>
  </si>
  <si>
    <t>XLPE , FRLS, 3½  C x  95 sq.mm aluminium Conductor</t>
  </si>
  <si>
    <t>Supply, laying and testing of 1.1 kV grade, XLPE , FRLS, 3½  C x  95 sq.mm aluminium conductor armoud cable with continuous 5.48 sq mm (12 SWG) G.I. earth wire on already installed cable trays or drawn in pipes , with neccessory hardwares etc.  .</t>
  </si>
  <si>
    <t xml:space="preserve"> XLPE , FRLS, 4  C x  16 sq.mm copper conductor</t>
  </si>
  <si>
    <t>Supply, laying and testing of 1.1 kV grade, XLPE , FRLS, 4  C x  16 sq.mm copper conductor armoud cable with continuous 5.48 sq mm (12 SWG) G.I. earth wire on already installed cable trays or drawn in pipes , with neccessory hardwares etc.  .</t>
  </si>
  <si>
    <t xml:space="preserve"> XLPE , FRLS, 3  C x  10 sq.mm copper conductor</t>
  </si>
  <si>
    <t>Supply, laying and testing of 1.1 kV grade, XLPE , FRLS, 3  C x  10 sq.mm copper conductor armoud cable with continuous 5.48 sq mm (12 SWG) G.I. earth wire on already installed cable trays or drawn in pipes , with neccessory hardwares etc.  .</t>
  </si>
  <si>
    <t>XLPE , FRLS, 3  C x  2.5 sq.mm copper conductor</t>
  </si>
  <si>
    <t>Supply, laying and testing of 1.1 kV grade, XLPE , FRLS, 3  C x  2.5 sq.mm copper conductor armoud cable with continuous 5.48 sq mm (12 SWG) G.I. earth wire on already installed cable trays or drawn in pipes , with neccessory hardwares etc.  .</t>
  </si>
  <si>
    <t>LA Spike</t>
  </si>
  <si>
    <t>Supplying &amp; erecting conventional spike type air termination suitable to carry lightning stroke made up of heavy gauge 40 mm dia copper pipe of standard length with 5 Nos. copper spikes fixed on copper ball as air terminals duly threaded in copper pipe erected on provided foundation in an approved manner,and accessories required to complete   .</t>
  </si>
  <si>
    <t>Earth Pit</t>
  </si>
  <si>
    <t>Supply, Installation, Testing and commissioning of UL Certified / CPRI Tested Maintenance Free GI Earth Pit With 76 mm pipe in pipe technology 3 mtr long + BFC 25KG fill up the excavated earth with required quantity having 300X300mm brick masonary chamber with MS coverplate for inspection.(Civil work paid sepeartely)</t>
  </si>
  <si>
    <t>25 x 6 mm GI strip earth strip</t>
  </si>
  <si>
    <t xml:space="preserve"> Supply, Installation, Testing and commissioning of 25 x 6 mm GI strip earth strip on wall, underground with nut, bolt, clamp etc with neccessory fixing arrangement   .</t>
  </si>
  <si>
    <t xml:space="preserve">32x 6 mm GI strips earth strip </t>
  </si>
  <si>
    <t xml:space="preserve"> Supply, Installation, Testing and commissioning of 32x 6 mm GI strips earth strip on wall, underground with nut, bolt, clamp etc with neccessory fixing arrangement   .</t>
  </si>
  <si>
    <t>AC 1.5 T</t>
  </si>
  <si>
    <t>Supplying, installing, testing and commissioning split type variable speed Inverter technology room Air conditioning unit 1.5 TR capacity having ISEER minimum 4.50 suitable to operate on250V, 50 cycles, A.C. supply having 1 no of air handling unit hiwall / floor mounting type complete with refrigerant R410 A/R32 and copper condensor at position. as per technical specifications and directions of PMC/IOCL.</t>
  </si>
  <si>
    <t>POWER Pannel</t>
  </si>
  <si>
    <t>Supplying, installing, testing and commissioning of Main Power Panel as per SLD</t>
  </si>
  <si>
    <t>TOTAL FOR NON-SCHEDULE ITEMS: Electrical FOR COMMUNITY CENTER</t>
  </si>
  <si>
    <t>NON-SCHEDULE ITEMS:ELECTRICAL FOR FIELD HOSTEL</t>
  </si>
  <si>
    <t>6W Bulkhead Reading light</t>
  </si>
  <si>
    <t xml:space="preserve">Supply, installation, connection, testing and commissioning of Bulkhead Reading Light fitting suitable for upto LED upto 6W fixed on wall.( Similar to Philips1H BW02) </t>
  </si>
  <si>
    <t>7W to 9W LED above Mirror light</t>
  </si>
  <si>
    <t>5W LED Decorative wall mount light</t>
  </si>
  <si>
    <t>Supplying and erecting decorative indoor Wall Mount 5W LED luminaire Fitting ( Similar to Murphy MLDL-COB-CURVED-2WAY-WW-01)</t>
  </si>
  <si>
    <t>15W LED Down Light</t>
  </si>
  <si>
    <t>LED Strip Light 5W/m</t>
  </si>
  <si>
    <t>60W LED Outdoor light</t>
  </si>
  <si>
    <t>Supply, installation, connection, testing and commissioning of 60W LED Outdoor Compound  Wall Light.Outdoor Compound ( Similar to Inventaa Bloom LED Gate Light Warm White)</t>
  </si>
  <si>
    <t>5W LED outdoor Light</t>
  </si>
  <si>
    <t>Supplying and erecting decorative Outdoor Wall Mount 5W LED luminaire Fitting ( Similar to Murphy MLDL-COB-CURVED-4WAY-WW-01)</t>
  </si>
  <si>
    <t>Exaust Fan Light duty 250V</t>
  </si>
  <si>
    <t>Supply, installation, connection, testing and commissioning of Exhaust fan of heavy duty250 V A.C. 50 cycles 450mm. 1400 RPM rust proof body &amp; blades, wiremesh, duly erected in an approved manner and marking. ( Similar to Havells Turboforce 450mm)</t>
  </si>
  <si>
    <t>Call bell</t>
  </si>
  <si>
    <t xml:space="preserve">Supply, installation, connection, testing and commissioning of Ding Dong / electronic musical type call bell with heavy duty coil suitable to operate on 230V A.C. supply erected on polished double wooden block/sunmica block of suitable size. ( Similar to Panasonic Penta Ding Dong Door Bell) </t>
  </si>
  <si>
    <t>Telephone cable 0.9/0.6 Sq.mm</t>
  </si>
  <si>
    <t>Supplying &amp; erecting 10 pairs x 0.5 mm dia PVC insulated armoured telephone cable 0.9/0.6 sq.mm  PVC Sheathed solid tinned copper conductor cable laid in provided trench/ cable tray   .</t>
  </si>
  <si>
    <t>20Pair Telephone Box</t>
  </si>
  <si>
    <t>Supply, installation, testing and commissioning of indoor type 20 Pair telephone distribution box with suitable S.S. frame for mounting tag module, Krone module and incorporated in 16 SWG MS box with proper lockable cover. The box should be fixed on wall with suitable fasteners including painting &amp; earthing. This also includes fixing the cable, distribution chart sufficient space for the cables, wires etc.  .</t>
  </si>
  <si>
    <t>32 Extensions</t>
  </si>
  <si>
    <t>Supplying and installing, testing &amp; commissioning of 32 extensions complete.( Similar to  EPABX CCL 232 Epabx)</t>
  </si>
  <si>
    <t>Push button telephone with caller ID</t>
  </si>
  <si>
    <t>Supplying, installing, testing &amp; commissioning approved type Push button telephone instrument desk top/wall mount with caller ID unit of approved make   . ( Similar to Beetel M59)</t>
  </si>
  <si>
    <t>Push button telephone</t>
  </si>
  <si>
    <t>Supplying, installing, testing &amp; commissioning approved type Push button telephone instrument desk top/wall mount unit of approved make   .( Similar to Beetel B17)</t>
  </si>
  <si>
    <t>12U wall mounted network rack</t>
  </si>
  <si>
    <t>Supply &amp; installation of 12U wall mounted network rack alongwith all necessary hardware &amp; accessories, etc.complete as required   .</t>
  </si>
  <si>
    <t>24 port Gigabit L2 switch</t>
  </si>
  <si>
    <t>Supplying and fixing 24-port Pure-Gigabit L2 Managed Switch, 12 Gigabit SFP slots, 4 Combo Gigabit LAN ports in provided U Rack complete.  ( Similar to TP-LINK TL-SG5412F)</t>
  </si>
  <si>
    <t>TV cable RG-11</t>
  </si>
  <si>
    <t>Supplying and drawing co-axial TV cable RG-11 grade,  solid copper conductor PE insulated, shielded with fine tinned copper braid and protected with PVC sheath in the existing surface/ recessed steel/ PVC conduit   .</t>
  </si>
  <si>
    <t>4-way Splitter box for TV</t>
  </si>
  <si>
    <t>Supply &amp; installation of 4-way Splitter box for TV cable termination including all necessary hardware, accessories, etc.  .</t>
  </si>
  <si>
    <t>T8 LED 20W  4 feet tube ligh</t>
  </si>
  <si>
    <t xml:space="preserve"> FRLS, 3½  C x  70 sq.mm</t>
  </si>
  <si>
    <t>Supply, laying and testing of 1.1 kV grade, XLPE , FRLS, 3½  C x  70 sq.mm aluminium conductor armoud cable with continuous 5.48 sq mm (12 SWG) G.I. earth wire on already installed cable trays or drawn in pipes , with neccessory hardwares etc.  .</t>
  </si>
  <si>
    <t>EARTH PIT</t>
  </si>
  <si>
    <t>Supply, Installation, Testing and commissioning of UL Certified / CPRI Tested Maintenance Free GI Earth Pit With 76 mm pipe in pipe technology 3 mtr long + BFC 25KG fill up the excavated earth with required quantity having 300X300mm brick masonary chamber with MS coverplate for inspection. (Civil Work paid seperately)</t>
  </si>
  <si>
    <t>25 x 6 mm GI strip earth</t>
  </si>
  <si>
    <t>32x 6 mm GI strips earth</t>
  </si>
  <si>
    <t>AC 2TR</t>
  </si>
  <si>
    <t xml:space="preserve">Supplying, installing, testing and commissioning split type variable speed inverter technology room Air conditioning unit 2 TR capacity having ISEER minimum 4.50 suitable to operate on 250V, 50 cycles, A.C. supply having 1 no. of air handling unit hi-wall/ floor mounting type complete with Refrigerants R410 A /R32 and copper condenser at position. as per technical specifications </t>
  </si>
  <si>
    <t>Set</t>
  </si>
  <si>
    <t>AC 1.5TR</t>
  </si>
  <si>
    <t>Supplying, installing, testing and commissioning split type variable speed Inverter technology room Air conditioning unit 1.5 TR capacity having ISEER minimum 4.50 suitable to operate on250V, 50 cycles, A.C. supply having 1 no of air handling unit hiwall / floor mounting type complete with refrigerant R410 A/R32 and copper condensor at position. as per technical specifications</t>
  </si>
  <si>
    <t>6W LED Study Table Lamp</t>
  </si>
  <si>
    <t>Supply, installation, connection, testing and commissioning of 6W LED Study Table Lamp suitable for Table standing. ( Similar to Philips Orbit Desk Light 919215850922)</t>
  </si>
  <si>
    <t>Gyser 10L capacity</t>
  </si>
  <si>
    <t>Supply, installation, connection, testing and commissioning of Storage Water Heater 10L - Free Standard Installation &amp; Pipes, 5 Star Rated, ABS Body Vertical Geyser ( Similar toRacold BUONO PRO 10L)</t>
  </si>
  <si>
    <t>TOTAL FOR NON-SCHEDULE ITEMS: Electrical FOR FIELD HOSTEL</t>
  </si>
  <si>
    <t>Total of Non-Schedule Items- Civil and E&amp;M (Schedule - II)</t>
  </si>
  <si>
    <t>(GRAND SUMMARY)</t>
  </si>
  <si>
    <t xml:space="preserve">Kavadiguda Main Raod, </t>
  </si>
  <si>
    <t>Secunderabad - 500080</t>
  </si>
  <si>
    <t>Description</t>
  </si>
  <si>
    <t>Total Price (INR)</t>
  </si>
  <si>
    <t>TOTAL SCHEDULE NO. I</t>
  </si>
  <si>
    <t>TOTAL SCHEDULE NO. II</t>
  </si>
  <si>
    <t>I</t>
  </si>
  <si>
    <t>Total of Service/Installation Charge 
(ITEMS TAB: Item 01  INSTALLATION FOR DCB (INR) : SRM ATB
for BID PRICE SUMMARY Statement )</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</si>
  <si>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</si>
  <si>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</si>
  <si>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</si>
  <si>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</si>
  <si>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</si>
  <si>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</si>
  <si>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</si>
  <si>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</si>
  <si>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</si>
  <si>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</si>
  <si>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</si>
  <si>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</si>
  <si>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</si>
  <si>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</si>
  <si>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</si>
  <si>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</si>
  <si>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</si>
  <si>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</si>
  <si>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</si>
  <si>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</si>
  <si>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</si>
  <si>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</si>
  <si>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</si>
  <si>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</si>
  <si>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</si>
  <si>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</si>
  <si>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</si>
  <si>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</si>
  <si>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</si>
  <si>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</si>
  <si>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</si>
  <si>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</si>
  <si>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</si>
  <si>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</si>
  <si>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</si>
  <si>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</si>
  <si>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</si>
  <si>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</si>
  <si>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</si>
  <si>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</si>
  <si>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</si>
  <si>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</si>
  <si>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</si>
  <si>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</si>
  <si>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</si>
  <si>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</si>
  <si>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</si>
  <si>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Specification No: Ref: SR-I/C&amp;M/WC-3810/2024/RFx-5002003836(SR1/NT/S-MISC/DOM/B00/24/11240) (Pkg-B)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</si>
</sst>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 numFmtId="176" formatCode="_(* #,##0_);_(* \(#,##0\);_(* &quot;-&quot;??_);_(@_)"/>
    <numFmt numFmtId="177" formatCode="yyyy/mm/dd;@"/>
    <numFmt numFmtId="178" formatCode="0.00_)"/>
    <numFmt numFmtId="179" formatCode="0_)"/>
  </numFmts>
  <fonts count="68">
    <font>
      <sz val="10"/>
      <name val="Book Antiqua"/>
    </font>
    <font>
      <sz val="11"/>
      <color theme="1"/>
      <name val="Calibri"/>
      <family val="2"/>
      <scheme val="minor"/>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b/>
      <sz val="14"/>
      <color theme="1"/>
      <name val="Book Antiqua"/>
      <family val="1"/>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20"/>
      <name val="Book Antiqua"/>
      <family val="1"/>
    </font>
    <font>
      <b/>
      <sz val="18"/>
      <name val="Book Antiqua"/>
      <family val="1"/>
    </font>
    <font>
      <b/>
      <sz val="16"/>
      <color theme="1"/>
      <name val="Book Antiqua"/>
      <family val="1"/>
    </font>
    <font>
      <b/>
      <sz val="11"/>
      <color theme="1"/>
      <name val="Book Antiqua"/>
      <family val="1"/>
    </font>
    <font>
      <sz val="12"/>
      <color theme="1"/>
      <name val="Arial"/>
      <family val="2"/>
    </font>
    <font>
      <b/>
      <sz val="14"/>
      <name val="Arial"/>
      <family val="2"/>
    </font>
    <font>
      <sz val="12"/>
      <color rgb="FF0000FF"/>
      <name val="Book Antiqua"/>
      <family val="1"/>
    </font>
    <font>
      <sz val="12"/>
      <name val="Calibri"/>
      <family val="2"/>
      <scheme val="minor"/>
    </font>
    <font>
      <b/>
      <sz val="12"/>
      <name val="Calibri"/>
      <family val="2"/>
      <scheme val="minor"/>
    </font>
    <font>
      <sz val="8"/>
      <name val="Book Antiqua"/>
    </font>
    <font>
      <b/>
      <sz val="12"/>
      <color rgb="FF333333"/>
      <name val="Arial Narrow"/>
      <family val="2"/>
    </font>
    <font>
      <b/>
      <sz val="12"/>
      <color rgb="FF333333"/>
      <name val="Calibri"/>
      <family val="2"/>
      <scheme val="minor"/>
    </font>
    <font>
      <sz val="12"/>
      <color rgb="FF333333"/>
      <name val="Calibri"/>
      <family val="2"/>
      <scheme val="minor"/>
    </font>
    <font>
      <sz val="12"/>
      <color rgb="FF000000"/>
      <name val="Book Antiqua"/>
      <family val="1"/>
    </font>
  </fonts>
  <fills count="12">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
      <patternFill patternType="solid">
        <fgColor rgb="FF92D050"/>
        <bgColor indexed="64"/>
      </patternFill>
    </fill>
  </fills>
  <borders count="59">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thin">
        <color indexed="64"/>
      </right>
      <top style="thin">
        <color indexed="64"/>
      </top>
      <bottom style="thin">
        <color indexed="64"/>
      </bottom>
      <diagonal/>
    </border>
    <border>
      <left/>
      <right style="thin">
        <color rgb="FF000000"/>
      </right>
      <top style="thin">
        <color rgb="FF000000"/>
      </top>
      <bottom/>
      <diagonal/>
    </border>
  </borders>
  <cellStyleXfs count="64">
    <xf numFmtId="0" fontId="0" fillId="0" borderId="0"/>
    <xf numFmtId="9" fontId="11" fillId="0" borderId="0"/>
    <xf numFmtId="165" fontId="12" fillId="0" borderId="0" applyFont="0" applyFill="0" applyBorder="0" applyAlignment="0" applyProtection="0"/>
    <xf numFmtId="166" fontId="12" fillId="0" borderId="0" applyFont="0" applyFill="0" applyBorder="0" applyAlignment="0" applyProtection="0"/>
    <xf numFmtId="167" fontId="12" fillId="0" borderId="0" applyFont="0" applyFill="0" applyBorder="0" applyAlignment="0" applyProtection="0"/>
    <xf numFmtId="168" fontId="12" fillId="0" borderId="0" applyFont="0" applyFill="0" applyBorder="0" applyAlignment="0" applyProtection="0"/>
    <xf numFmtId="0" fontId="13" fillId="0" borderId="0"/>
    <xf numFmtId="164" fontId="4" fillId="0" borderId="0" applyFont="0" applyFill="0" applyBorder="0" applyAlignment="0" applyProtection="0"/>
    <xf numFmtId="169" fontId="12" fillId="0" borderId="0"/>
    <xf numFmtId="169" fontId="12" fillId="0" borderId="0"/>
    <xf numFmtId="169" fontId="12" fillId="0" borderId="0"/>
    <xf numFmtId="169" fontId="12" fillId="0" borderId="0"/>
    <xf numFmtId="169" fontId="12" fillId="0" borderId="0"/>
    <xf numFmtId="169" fontId="12" fillId="0" borderId="0"/>
    <xf numFmtId="169" fontId="12" fillId="0" borderId="0"/>
    <xf numFmtId="169" fontId="12" fillId="0" borderId="0"/>
    <xf numFmtId="164" fontId="30" fillId="0" borderId="0" applyFont="0" applyFill="0" applyBorder="0" applyAlignment="0" applyProtection="0"/>
    <xf numFmtId="164" fontId="12" fillId="0" borderId="0" applyFont="0" applyFill="0" applyBorder="0" applyAlignment="0" applyProtection="0"/>
    <xf numFmtId="170" fontId="14" fillId="0" borderId="1">
      <alignment horizontal="right"/>
    </xf>
    <xf numFmtId="0" fontId="7" fillId="0" borderId="2" applyNumberFormat="0" applyAlignment="0" applyProtection="0">
      <alignment horizontal="left" vertical="center"/>
    </xf>
    <xf numFmtId="0" fontId="7" fillId="0" borderId="3">
      <alignment horizontal="left" vertical="center"/>
    </xf>
    <xf numFmtId="0" fontId="15" fillId="0" borderId="0" applyNumberFormat="0" applyFill="0" applyBorder="0" applyAlignment="0" applyProtection="0">
      <alignment vertical="top"/>
      <protection locked="0"/>
    </xf>
    <xf numFmtId="37" fontId="16" fillId="0" borderId="0"/>
    <xf numFmtId="171" fontId="12" fillId="0" borderId="0"/>
    <xf numFmtId="0" fontId="12" fillId="0" borderId="0"/>
    <xf numFmtId="0" fontId="20" fillId="0" borderId="0"/>
    <xf numFmtId="0" fontId="12" fillId="0" borderId="0"/>
    <xf numFmtId="0" fontId="12" fillId="0" borderId="0"/>
    <xf numFmtId="0" fontId="30" fillId="0" borderId="0"/>
    <xf numFmtId="0" fontId="9" fillId="0" borderId="0"/>
    <xf numFmtId="0" fontId="12" fillId="0" borderId="0"/>
    <xf numFmtId="0" fontId="12" fillId="0" borderId="0"/>
    <xf numFmtId="0" fontId="29" fillId="0" borderId="0"/>
    <xf numFmtId="0" fontId="9" fillId="0" borderId="0"/>
    <xf numFmtId="0" fontId="12" fillId="0" borderId="0"/>
    <xf numFmtId="0" fontId="20" fillId="0" borderId="0"/>
    <xf numFmtId="0" fontId="9" fillId="0" borderId="0"/>
    <xf numFmtId="0" fontId="20" fillId="0" borderId="0"/>
    <xf numFmtId="0" fontId="30" fillId="0" borderId="0"/>
    <xf numFmtId="0" fontId="12" fillId="0" borderId="0"/>
    <xf numFmtId="0" fontId="9" fillId="0" borderId="0"/>
    <xf numFmtId="0" fontId="9" fillId="0" borderId="0"/>
    <xf numFmtId="0" fontId="30" fillId="0" borderId="0"/>
    <xf numFmtId="0" fontId="30" fillId="0" borderId="0"/>
    <xf numFmtId="9" fontId="12" fillId="0" borderId="0" applyFont="0" applyFill="0" applyBorder="0" applyAlignment="0" applyProtection="0"/>
    <xf numFmtId="0" fontId="17" fillId="0" borderId="0" applyFont="0"/>
    <xf numFmtId="0" fontId="18" fillId="0" borderId="0" applyNumberFormat="0" applyFill="0" applyBorder="0" applyAlignment="0" applyProtection="0">
      <alignment vertical="top"/>
      <protection locked="0"/>
    </xf>
    <xf numFmtId="0" fontId="19" fillId="0" borderId="0"/>
    <xf numFmtId="0" fontId="12" fillId="0" borderId="0">
      <alignment wrapText="1"/>
    </xf>
    <xf numFmtId="0" fontId="3" fillId="0" borderId="0"/>
    <xf numFmtId="0" fontId="2" fillId="0" borderId="0"/>
    <xf numFmtId="0" fontId="2" fillId="0" borderId="0"/>
    <xf numFmtId="0" fontId="29" fillId="0" borderId="0"/>
    <xf numFmtId="0" fontId="12" fillId="0" borderId="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cellStyleXfs>
  <cellXfs count="456">
    <xf numFmtId="0" fontId="0" fillId="0" borderId="0" xfId="0"/>
    <xf numFmtId="0" fontId="20" fillId="0" borderId="0" xfId="25" applyAlignment="1" applyProtection="1">
      <alignment vertical="top"/>
      <protection hidden="1"/>
    </xf>
    <xf numFmtId="0" fontId="20" fillId="0" borderId="0" xfId="25" applyProtection="1">
      <protection hidden="1"/>
    </xf>
    <xf numFmtId="0" fontId="6" fillId="0" borderId="0" xfId="25" applyFont="1" applyAlignment="1" applyProtection="1">
      <alignment horizontal="justify" vertical="top"/>
      <protection hidden="1"/>
    </xf>
    <xf numFmtId="0" fontId="6" fillId="0" borderId="0" xfId="25" applyFont="1" applyAlignment="1" applyProtection="1">
      <alignment horizontal="justify" vertical="top" wrapText="1"/>
      <protection hidden="1"/>
    </xf>
    <xf numFmtId="0" fontId="6" fillId="0" borderId="0" xfId="25" applyFont="1" applyAlignment="1" applyProtection="1">
      <alignment vertical="top"/>
      <protection hidden="1"/>
    </xf>
    <xf numFmtId="0" fontId="6" fillId="0" borderId="0" xfId="25" applyFont="1" applyAlignment="1" applyProtection="1">
      <alignment horizontal="right" vertical="top"/>
      <protection hidden="1"/>
    </xf>
    <xf numFmtId="0" fontId="22" fillId="0" borderId="0" xfId="25" applyFont="1" applyProtection="1">
      <protection hidden="1"/>
    </xf>
    <xf numFmtId="0" fontId="6" fillId="0" borderId="0" xfId="25" applyFont="1" applyProtection="1">
      <protection hidden="1"/>
    </xf>
    <xf numFmtId="0" fontId="6" fillId="0" borderId="0" xfId="25" applyFont="1" applyAlignment="1" applyProtection="1">
      <alignment horizontal="justify"/>
      <protection hidden="1"/>
    </xf>
    <xf numFmtId="0" fontId="8" fillId="0" borderId="0" xfId="25" applyFont="1" applyAlignment="1" applyProtection="1">
      <alignment horizontal="justify"/>
      <protection hidden="1"/>
    </xf>
    <xf numFmtId="0" fontId="6" fillId="0" borderId="0" xfId="25" quotePrefix="1" applyFont="1" applyAlignment="1" applyProtection="1">
      <alignment vertical="top"/>
      <protection hidden="1"/>
    </xf>
    <xf numFmtId="0" fontId="6" fillId="0" borderId="0" xfId="25" applyFont="1" applyAlignment="1" applyProtection="1">
      <alignment horizontal="center" vertical="center"/>
      <protection hidden="1"/>
    </xf>
    <xf numFmtId="0" fontId="6" fillId="0" borderId="0" xfId="25" applyFont="1" applyAlignment="1" applyProtection="1">
      <alignment horizontal="left"/>
      <protection hidden="1"/>
    </xf>
    <xf numFmtId="0" fontId="6" fillId="0" borderId="0" xfId="25" applyFont="1" applyAlignment="1" applyProtection="1">
      <alignment vertical="top" wrapText="1"/>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vertical="top" wrapText="1"/>
      <protection hidden="1"/>
    </xf>
    <xf numFmtId="15" fontId="6" fillId="0" borderId="0" xfId="25" applyNumberFormat="1" applyFont="1" applyAlignment="1" applyProtection="1">
      <alignment vertical="top"/>
      <protection hidden="1"/>
    </xf>
    <xf numFmtId="0" fontId="6" fillId="0" borderId="4" xfId="25" quotePrefix="1" applyFont="1" applyBorder="1" applyAlignment="1" applyProtection="1">
      <alignment horizontal="center" vertical="top"/>
      <protection hidden="1"/>
    </xf>
    <xf numFmtId="0" fontId="6" fillId="0" borderId="5" xfId="25" quotePrefix="1" applyFont="1" applyBorder="1" applyAlignment="1" applyProtection="1">
      <alignment horizontal="center" vertical="top"/>
      <protection hidden="1"/>
    </xf>
    <xf numFmtId="0" fontId="27" fillId="0" borderId="0" xfId="0" applyFont="1" applyProtection="1">
      <protection hidden="1"/>
    </xf>
    <xf numFmtId="0" fontId="27" fillId="0" borderId="0" xfId="0" applyFont="1" applyAlignment="1" applyProtection="1">
      <alignment vertical="center"/>
      <protection hidden="1"/>
    </xf>
    <xf numFmtId="0" fontId="27" fillId="0" borderId="0" xfId="36" applyFont="1" applyAlignment="1" applyProtection="1">
      <alignment vertical="center"/>
      <protection hidden="1"/>
    </xf>
    <xf numFmtId="0" fontId="27" fillId="0" borderId="0" xfId="40" applyFont="1" applyAlignment="1" applyProtection="1">
      <alignment vertical="center"/>
      <protection hidden="1"/>
    </xf>
    <xf numFmtId="0" fontId="28" fillId="0" borderId="0" xfId="0" applyFont="1" applyAlignment="1" applyProtection="1">
      <alignment vertical="center"/>
      <protection hidden="1"/>
    </xf>
    <xf numFmtId="0" fontId="30" fillId="0" borderId="0" xfId="28" applyProtection="1">
      <protection hidden="1"/>
    </xf>
    <xf numFmtId="0" fontId="30" fillId="0" borderId="6" xfId="28" applyBorder="1" applyProtection="1">
      <protection hidden="1"/>
    </xf>
    <xf numFmtId="0" fontId="30" fillId="0" borderId="7" xfId="28" applyBorder="1" applyProtection="1">
      <protection hidden="1"/>
    </xf>
    <xf numFmtId="0" fontId="30" fillId="0" borderId="8" xfId="28" applyBorder="1" applyProtection="1">
      <protection hidden="1"/>
    </xf>
    <xf numFmtId="0" fontId="30" fillId="0" borderId="9" xfId="28" applyBorder="1" applyProtection="1">
      <protection hidden="1"/>
    </xf>
    <xf numFmtId="0" fontId="30" fillId="0" borderId="10" xfId="28" applyBorder="1" applyProtection="1">
      <protection hidden="1"/>
    </xf>
    <xf numFmtId="0" fontId="31" fillId="0" borderId="0" xfId="28" applyFont="1" applyAlignment="1" applyProtection="1">
      <alignment horizontal="center"/>
      <protection hidden="1"/>
    </xf>
    <xf numFmtId="0" fontId="30" fillId="0" borderId="0" xfId="38" applyAlignment="1" applyProtection="1">
      <alignment vertical="center"/>
      <protection hidden="1"/>
    </xf>
    <xf numFmtId="0" fontId="30" fillId="0" borderId="10" xfId="38" applyBorder="1" applyAlignment="1" applyProtection="1">
      <alignment vertical="center"/>
      <protection hidden="1"/>
    </xf>
    <xf numFmtId="0" fontId="12" fillId="0" borderId="9" xfId="38" applyFont="1" applyBorder="1" applyAlignment="1" applyProtection="1">
      <alignment vertical="center"/>
      <protection hidden="1"/>
    </xf>
    <xf numFmtId="0" fontId="30" fillId="0" borderId="0" xfId="38" applyProtection="1">
      <protection hidden="1"/>
    </xf>
    <xf numFmtId="0" fontId="30" fillId="0" borderId="10" xfId="38" applyBorder="1" applyProtection="1">
      <protection hidden="1"/>
    </xf>
    <xf numFmtId="0" fontId="12" fillId="0" borderId="0" xfId="38" applyFont="1" applyAlignment="1" applyProtection="1">
      <alignment vertical="center"/>
      <protection hidden="1"/>
    </xf>
    <xf numFmtId="0" fontId="12" fillId="0" borderId="9" xfId="38" applyFont="1" applyBorder="1" applyAlignment="1" applyProtection="1">
      <alignment horizontal="center" vertical="center"/>
      <protection hidden="1"/>
    </xf>
    <xf numFmtId="0" fontId="12" fillId="0" borderId="10" xfId="38" applyFont="1" applyBorder="1" applyAlignment="1" applyProtection="1">
      <alignment horizontal="left" vertical="center"/>
      <protection hidden="1"/>
    </xf>
    <xf numFmtId="0" fontId="30" fillId="0" borderId="11" xfId="28" applyBorder="1" applyProtection="1">
      <protection hidden="1"/>
    </xf>
    <xf numFmtId="0" fontId="30" fillId="0" borderId="12" xfId="28" applyBorder="1" applyProtection="1">
      <protection hidden="1"/>
    </xf>
    <xf numFmtId="0" fontId="30" fillId="0" borderId="13" xfId="28" applyBorder="1" applyProtection="1">
      <protection hidden="1"/>
    </xf>
    <xf numFmtId="0" fontId="30" fillId="0" borderId="0" xfId="38" applyAlignment="1" applyProtection="1">
      <alignment horizontal="left"/>
      <protection hidden="1"/>
    </xf>
    <xf numFmtId="0" fontId="30" fillId="0" borderId="9" xfId="38" applyBorder="1" applyAlignment="1" applyProtection="1">
      <alignment horizontal="center"/>
      <protection hidden="1"/>
    </xf>
    <xf numFmtId="0" fontId="30" fillId="0" borderId="9" xfId="38" applyBorder="1" applyProtection="1">
      <protection hidden="1"/>
    </xf>
    <xf numFmtId="0" fontId="30" fillId="0" borderId="9" xfId="43" applyBorder="1" applyAlignment="1" applyProtection="1">
      <alignment horizontal="center"/>
      <protection hidden="1"/>
    </xf>
    <xf numFmtId="0" fontId="30" fillId="0" borderId="0" xfId="43" applyProtection="1">
      <protection hidden="1"/>
    </xf>
    <xf numFmtId="0" fontId="30" fillId="0" borderId="14" xfId="28" applyBorder="1" applyProtection="1">
      <protection hidden="1"/>
    </xf>
    <xf numFmtId="0" fontId="30" fillId="0" borderId="15" xfId="43" applyBorder="1" applyAlignment="1" applyProtection="1">
      <alignment horizontal="center"/>
      <protection hidden="1"/>
    </xf>
    <xf numFmtId="0" fontId="30" fillId="0" borderId="16" xfId="43" applyBorder="1" applyProtection="1">
      <protection hidden="1"/>
    </xf>
    <xf numFmtId="0" fontId="30" fillId="0" borderId="16" xfId="38" applyBorder="1" applyProtection="1">
      <protection hidden="1"/>
    </xf>
    <xf numFmtId="0" fontId="30" fillId="0" borderId="17" xfId="38" applyBorder="1" applyProtection="1">
      <protection hidden="1"/>
    </xf>
    <xf numFmtId="0" fontId="32" fillId="0" borderId="0" xfId="28" applyFont="1" applyProtection="1">
      <protection hidden="1"/>
    </xf>
    <xf numFmtId="0" fontId="33" fillId="0" borderId="0" xfId="0" applyFont="1" applyAlignment="1" applyProtection="1">
      <alignment vertical="center"/>
      <protection hidden="1"/>
    </xf>
    <xf numFmtId="0" fontId="20" fillId="0" borderId="18" xfId="25" applyBorder="1" applyProtection="1">
      <protection hidden="1"/>
    </xf>
    <xf numFmtId="0" fontId="23" fillId="0" borderId="0" xfId="25" applyFont="1" applyAlignment="1" applyProtection="1">
      <alignment vertical="top"/>
      <protection hidden="1"/>
    </xf>
    <xf numFmtId="0" fontId="23" fillId="0" borderId="0" xfId="25" applyFont="1" applyAlignment="1" applyProtection="1">
      <alignment horizontal="right" vertical="top"/>
      <protection hidden="1"/>
    </xf>
    <xf numFmtId="0" fontId="34" fillId="0" borderId="18" xfId="25" applyFont="1" applyBorder="1" applyProtection="1">
      <protection hidden="1"/>
    </xf>
    <xf numFmtId="0" fontId="8" fillId="0" borderId="18" xfId="25" applyFont="1" applyBorder="1" applyAlignment="1" applyProtection="1">
      <alignment horizontal="center"/>
      <protection hidden="1"/>
    </xf>
    <xf numFmtId="0" fontId="8" fillId="0" borderId="19" xfId="0" applyFont="1" applyBorder="1" applyAlignment="1" applyProtection="1">
      <alignment horizontal="right"/>
      <protection hidden="1"/>
    </xf>
    <xf numFmtId="0" fontId="8" fillId="0" borderId="19" xfId="0" applyFont="1" applyBorder="1" applyAlignment="1" applyProtection="1">
      <alignment vertical="center"/>
      <protection hidden="1"/>
    </xf>
    <xf numFmtId="0" fontId="9" fillId="0" borderId="0" xfId="0" applyFont="1" applyProtection="1">
      <protection hidden="1"/>
    </xf>
    <xf numFmtId="0" fontId="10"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10" fillId="0" borderId="0" xfId="36" applyFont="1" applyAlignment="1" applyProtection="1">
      <alignment horizontal="left" vertical="center" indent="1"/>
      <protection hidden="1"/>
    </xf>
    <xf numFmtId="0" fontId="9" fillId="0" borderId="0" xfId="36" applyAlignment="1" applyProtection="1">
      <alignment horizontal="left" vertical="center" indent="1"/>
      <protection hidden="1"/>
    </xf>
    <xf numFmtId="0" fontId="9" fillId="0" borderId="0" xfId="0" applyFont="1" applyAlignment="1" applyProtection="1">
      <alignment vertical="center"/>
      <protection hidden="1"/>
    </xf>
    <xf numFmtId="0" fontId="10" fillId="0" borderId="0" xfId="0" applyFont="1" applyAlignment="1" applyProtection="1">
      <alignment horizontal="left" vertical="center"/>
      <protection hidden="1"/>
    </xf>
    <xf numFmtId="0" fontId="10" fillId="0" borderId="0" xfId="0" applyFont="1" applyAlignment="1" applyProtection="1">
      <alignment horizontal="right" vertical="center" indent="1"/>
      <protection hidden="1"/>
    </xf>
    <xf numFmtId="0" fontId="6" fillId="0" borderId="19" xfId="25" applyFont="1" applyBorder="1" applyProtection="1">
      <protection hidden="1"/>
    </xf>
    <xf numFmtId="0" fontId="6" fillId="0" borderId="19" xfId="25" applyFont="1" applyBorder="1" applyAlignment="1" applyProtection="1">
      <alignment vertical="top"/>
      <protection hidden="1"/>
    </xf>
    <xf numFmtId="0" fontId="10" fillId="0" borderId="0" xfId="0" applyFont="1" applyAlignment="1" applyProtection="1">
      <alignment horizontal="center" vertical="center"/>
      <protection hidden="1"/>
    </xf>
    <xf numFmtId="0" fontId="9" fillId="0" borderId="0" xfId="25" applyFont="1" applyAlignment="1" applyProtection="1">
      <alignment horizontal="justify" vertical="top" wrapText="1"/>
      <protection hidden="1"/>
    </xf>
    <xf numFmtId="0" fontId="6" fillId="0" borderId="19" xfId="0" applyFont="1" applyBorder="1" applyAlignment="1" applyProtection="1">
      <alignment vertical="center"/>
      <protection hidden="1"/>
    </xf>
    <xf numFmtId="0" fontId="6" fillId="0" borderId="0" xfId="0" applyFont="1" applyAlignment="1" applyProtection="1">
      <alignment vertical="center"/>
      <protection hidden="1"/>
    </xf>
    <xf numFmtId="0" fontId="9" fillId="0" borderId="0" xfId="0" applyFont="1" applyAlignment="1" applyProtection="1">
      <alignment horizontal="justify" vertical="center"/>
      <protection hidden="1"/>
    </xf>
    <xf numFmtId="0" fontId="10" fillId="0" borderId="0" xfId="40" applyFont="1" applyAlignment="1" applyProtection="1">
      <alignment vertical="center"/>
      <protection hidden="1"/>
    </xf>
    <xf numFmtId="0" fontId="9" fillId="0" borderId="0" xfId="40" applyAlignment="1" applyProtection="1">
      <alignment horizontal="left" vertical="center" indent="1"/>
      <protection hidden="1"/>
    </xf>
    <xf numFmtId="0" fontId="10" fillId="0" borderId="0" xfId="40" applyFont="1" applyAlignment="1" applyProtection="1">
      <alignment vertical="top"/>
      <protection hidden="1"/>
    </xf>
    <xf numFmtId="0" fontId="10" fillId="0" borderId="0" xfId="0" applyFont="1" applyAlignment="1" applyProtection="1">
      <alignment horizontal="justify" vertical="center"/>
      <protection hidden="1"/>
    </xf>
    <xf numFmtId="173" fontId="10" fillId="0" borderId="0" xfId="0" applyNumberFormat="1"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10" fillId="0" borderId="0" xfId="0" applyFont="1" applyAlignment="1" applyProtection="1">
      <alignment horizontal="left" vertical="center" indent="1"/>
      <protection hidden="1"/>
    </xf>
    <xf numFmtId="0" fontId="27" fillId="0" borderId="0" xfId="42" applyFont="1"/>
    <xf numFmtId="0" fontId="9" fillId="0" borderId="0" xfId="37" applyFont="1" applyAlignment="1">
      <alignment horizontal="justify" vertical="center"/>
    </xf>
    <xf numFmtId="0" fontId="9" fillId="0" borderId="0" xfId="37" applyFont="1" applyAlignment="1">
      <alignment vertical="center"/>
    </xf>
    <xf numFmtId="0" fontId="9" fillId="0" borderId="20" xfId="37" applyFont="1" applyBorder="1" applyAlignment="1">
      <alignment vertical="center" wrapText="1"/>
    </xf>
    <xf numFmtId="0" fontId="9" fillId="0" borderId="21" xfId="37" applyFont="1" applyBorder="1" applyAlignment="1">
      <alignment vertical="center" wrapText="1"/>
    </xf>
    <xf numFmtId="0" fontId="9" fillId="0" borderId="22" xfId="37" applyFont="1" applyBorder="1" applyAlignment="1">
      <alignment vertical="center" wrapText="1"/>
    </xf>
    <xf numFmtId="0" fontId="9" fillId="0" borderId="3" xfId="37" applyFont="1" applyBorder="1" applyAlignment="1">
      <alignment vertical="center" wrapText="1"/>
    </xf>
    <xf numFmtId="0" fontId="20" fillId="0" borderId="22" xfId="37" applyBorder="1" applyAlignment="1">
      <alignment horizontal="left" vertical="center" wrapText="1"/>
    </xf>
    <xf numFmtId="0" fontId="9" fillId="0" borderId="3" xfId="37" applyFont="1" applyBorder="1" applyAlignment="1">
      <alignment horizontal="center" vertical="center" wrapText="1"/>
    </xf>
    <xf numFmtId="0" fontId="9" fillId="0" borderId="9" xfId="37" applyFont="1" applyBorder="1" applyAlignment="1">
      <alignment vertical="center" wrapText="1"/>
    </xf>
    <xf numFmtId="0" fontId="9" fillId="0" borderId="0" xfId="37" applyFont="1" applyAlignment="1">
      <alignment vertical="center" wrapText="1"/>
    </xf>
    <xf numFmtId="0" fontId="9" fillId="0" borderId="23" xfId="37" applyFont="1" applyBorder="1" applyAlignment="1">
      <alignment vertical="center"/>
    </xf>
    <xf numFmtId="0" fontId="9" fillId="0" borderId="24" xfId="37" applyFont="1" applyBorder="1" applyAlignment="1">
      <alignment vertical="center"/>
    </xf>
    <xf numFmtId="0" fontId="9" fillId="0" borderId="25" xfId="37" applyFont="1" applyBorder="1" applyAlignment="1">
      <alignment vertical="center"/>
    </xf>
    <xf numFmtId="0" fontId="9" fillId="0" borderId="26" xfId="37" applyFont="1" applyBorder="1" applyAlignment="1">
      <alignment vertical="center"/>
    </xf>
    <xf numFmtId="0" fontId="9" fillId="0" borderId="27" xfId="37" applyFont="1" applyBorder="1" applyAlignment="1">
      <alignment vertical="center"/>
    </xf>
    <xf numFmtId="0" fontId="9" fillId="0" borderId="28" xfId="37" applyFont="1" applyBorder="1" applyAlignment="1">
      <alignment vertical="center"/>
    </xf>
    <xf numFmtId="0" fontId="9" fillId="0" borderId="29" xfId="37" applyFont="1" applyBorder="1" applyAlignment="1">
      <alignment vertical="center"/>
    </xf>
    <xf numFmtId="0" fontId="9" fillId="0" borderId="30" xfId="37" applyFont="1" applyBorder="1" applyAlignment="1">
      <alignment vertical="center"/>
    </xf>
    <xf numFmtId="0" fontId="9" fillId="0" borderId="9" xfId="37" applyFont="1" applyBorder="1" applyAlignment="1">
      <alignment vertical="center"/>
    </xf>
    <xf numFmtId="0" fontId="9" fillId="0" borderId="10" xfId="37" applyFont="1" applyBorder="1" applyAlignment="1">
      <alignment vertical="center" wrapText="1"/>
    </xf>
    <xf numFmtId="0" fontId="9" fillId="0" borderId="22" xfId="37" applyFont="1" applyBorder="1" applyAlignment="1">
      <alignment horizontal="left" vertical="center"/>
    </xf>
    <xf numFmtId="0" fontId="9" fillId="0" borderId="11" xfId="37" applyFont="1" applyBorder="1" applyAlignment="1">
      <alignment horizontal="left" vertical="center"/>
    </xf>
    <xf numFmtId="0" fontId="9" fillId="0" borderId="9" xfId="37" applyFont="1" applyBorder="1" applyAlignment="1">
      <alignment horizontal="left" vertical="center"/>
    </xf>
    <xf numFmtId="0" fontId="9" fillId="0" borderId="0" xfId="37" applyFont="1" applyAlignment="1">
      <alignment horizontal="left" vertical="center"/>
    </xf>
    <xf numFmtId="0" fontId="9" fillId="0" borderId="10" xfId="37" applyFont="1" applyBorder="1" applyAlignment="1">
      <alignment horizontal="left" vertical="center"/>
    </xf>
    <xf numFmtId="0" fontId="9" fillId="0" borderId="31" xfId="37" applyFont="1" applyBorder="1" applyAlignment="1">
      <alignment horizontal="left" vertical="center"/>
    </xf>
    <xf numFmtId="0" fontId="9" fillId="0" borderId="32" xfId="37" applyFont="1" applyBorder="1" applyAlignment="1">
      <alignment horizontal="left" vertical="center"/>
    </xf>
    <xf numFmtId="0" fontId="9" fillId="0" borderId="0" xfId="42" applyFont="1"/>
    <xf numFmtId="0" fontId="10" fillId="2" borderId="33" xfId="37" applyFont="1" applyFill="1" applyBorder="1" applyAlignment="1" applyProtection="1">
      <alignment horizontal="left" vertical="center" wrapText="1"/>
      <protection locked="0"/>
    </xf>
    <xf numFmtId="0" fontId="9" fillId="2" borderId="33" xfId="37" applyFont="1" applyFill="1" applyBorder="1" applyAlignment="1" applyProtection="1">
      <alignment horizontal="left" vertical="center" wrapText="1"/>
      <protection locked="0"/>
    </xf>
    <xf numFmtId="0" fontId="9" fillId="2" borderId="34" xfId="37" applyFont="1" applyFill="1" applyBorder="1" applyAlignment="1" applyProtection="1">
      <alignment horizontal="left" vertical="center" wrapText="1"/>
      <protection locked="0"/>
    </xf>
    <xf numFmtId="0" fontId="9" fillId="2" borderId="33" xfId="37" applyFont="1" applyFill="1" applyBorder="1" applyAlignment="1" applyProtection="1">
      <alignment vertical="center" wrapText="1"/>
      <protection locked="0"/>
    </xf>
    <xf numFmtId="0" fontId="9" fillId="2" borderId="34" xfId="37" applyFont="1" applyFill="1" applyBorder="1" applyAlignment="1" applyProtection="1">
      <alignment vertical="center" wrapText="1"/>
      <protection locked="0"/>
    </xf>
    <xf numFmtId="0" fontId="9" fillId="2" borderId="35" xfId="37" applyFont="1" applyFill="1" applyBorder="1" applyAlignment="1" applyProtection="1">
      <alignment vertical="center" wrapText="1"/>
      <protection locked="0"/>
    </xf>
    <xf numFmtId="0" fontId="37" fillId="0" borderId="36" xfId="37" applyFont="1" applyBorder="1" applyAlignment="1" applyProtection="1">
      <alignment horizontal="left" vertical="center" wrapText="1"/>
      <protection locked="0"/>
    </xf>
    <xf numFmtId="0" fontId="35" fillId="0" borderId="36" xfId="42" applyFont="1" applyBorder="1" applyAlignment="1" applyProtection="1">
      <alignment horizontal="center" vertical="center"/>
      <protection locked="0"/>
    </xf>
    <xf numFmtId="0" fontId="9" fillId="0" borderId="10" xfId="37" applyFont="1" applyBorder="1" applyAlignment="1" applyProtection="1">
      <alignment horizontal="center" vertical="center"/>
      <protection locked="0"/>
    </xf>
    <xf numFmtId="174" fontId="9" fillId="2" borderId="33" xfId="37" applyNumberFormat="1" applyFont="1" applyFill="1" applyBorder="1" applyAlignment="1" applyProtection="1">
      <alignment horizontal="left" vertical="center" wrapText="1"/>
      <protection locked="0"/>
    </xf>
    <xf numFmtId="0" fontId="42" fillId="0" borderId="0" xfId="39" applyFont="1" applyAlignment="1">
      <alignment horizontal="center" vertical="center" wrapText="1"/>
    </xf>
    <xf numFmtId="0" fontId="42" fillId="0" borderId="0" xfId="39" applyFont="1" applyAlignment="1">
      <alignment vertical="center" wrapText="1"/>
    </xf>
    <xf numFmtId="0" fontId="9" fillId="2" borderId="37" xfId="33" applyFill="1" applyBorder="1" applyAlignment="1" applyProtection="1">
      <alignment horizontal="left" vertical="center"/>
      <protection locked="0"/>
    </xf>
    <xf numFmtId="164" fontId="9" fillId="0" borderId="0" xfId="7" applyFont="1" applyBorder="1" applyProtection="1">
      <protection hidden="1"/>
    </xf>
    <xf numFmtId="0" fontId="8" fillId="0" borderId="18" xfId="0" applyFont="1" applyBorder="1" applyAlignment="1">
      <alignment horizontal="center" vertical="center" wrapText="1"/>
    </xf>
    <xf numFmtId="0" fontId="44" fillId="0" borderId="18" xfId="0" applyFont="1" applyBorder="1" applyAlignment="1">
      <alignment horizontal="center" vertical="center" wrapText="1"/>
    </xf>
    <xf numFmtId="0" fontId="45" fillId="5" borderId="0" xfId="0" applyFont="1" applyFill="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vertical="center"/>
    </xf>
    <xf numFmtId="0" fontId="6" fillId="0" borderId="0" xfId="0" applyFont="1"/>
    <xf numFmtId="0" fontId="6" fillId="0" borderId="0" xfId="0" applyFont="1" applyAlignment="1">
      <alignment horizontal="center" vertical="center"/>
    </xf>
    <xf numFmtId="0" fontId="6" fillId="0" borderId="0" xfId="0" applyFont="1" applyAlignment="1">
      <alignment vertical="top"/>
    </xf>
    <xf numFmtId="0" fontId="43" fillId="0" borderId="0" xfId="0" applyFont="1" applyAlignment="1">
      <alignment horizontal="center" vertical="top"/>
    </xf>
    <xf numFmtId="0" fontId="43" fillId="0" borderId="0" xfId="0" applyFont="1" applyAlignment="1">
      <alignment horizontal="center" vertical="center"/>
    </xf>
    <xf numFmtId="0" fontId="43" fillId="0" borderId="0" xfId="0" applyFont="1" applyAlignment="1">
      <alignment horizontal="center"/>
    </xf>
    <xf numFmtId="0" fontId="43" fillId="0" borderId="0" xfId="0" applyFont="1"/>
    <xf numFmtId="0" fontId="44" fillId="0" borderId="12" xfId="0" applyFont="1" applyBorder="1" applyAlignment="1">
      <alignment horizontal="center" vertical="center" wrapText="1"/>
    </xf>
    <xf numFmtId="0" fontId="6" fillId="0" borderId="18"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1" xfId="0" applyFont="1" applyBorder="1" applyAlignment="1">
      <alignment horizontal="center" vertical="center" wrapText="1"/>
    </xf>
    <xf numFmtId="0" fontId="8" fillId="0" borderId="18" xfId="0" applyFont="1" applyBorder="1" applyAlignment="1">
      <alignment horizontal="center" vertical="center"/>
    </xf>
    <xf numFmtId="0" fontId="8" fillId="0" borderId="18" xfId="0" applyFont="1" applyBorder="1" applyAlignment="1">
      <alignment horizontal="center"/>
    </xf>
    <xf numFmtId="175" fontId="43" fillId="0" borderId="18" xfId="7" applyNumberFormat="1" applyFont="1" applyBorder="1" applyAlignment="1" applyProtection="1">
      <alignment vertical="center"/>
    </xf>
    <xf numFmtId="164" fontId="43" fillId="0" borderId="18" xfId="7" applyFont="1" applyBorder="1" applyAlignment="1" applyProtection="1">
      <alignment vertical="center"/>
    </xf>
    <xf numFmtId="164" fontId="43" fillId="0" borderId="18" xfId="7" applyFont="1" applyBorder="1" applyAlignment="1" applyProtection="1">
      <alignment horizontal="center" vertical="center"/>
    </xf>
    <xf numFmtId="0" fontId="0" fillId="0" borderId="18" xfId="0" applyBorder="1" applyAlignment="1">
      <alignment horizontal="center" vertical="center"/>
    </xf>
    <xf numFmtId="164" fontId="8" fillId="0" borderId="18" xfId="7" applyFont="1" applyBorder="1" applyAlignment="1" applyProtection="1">
      <alignment vertical="center" wrapText="1"/>
    </xf>
    <xf numFmtId="164" fontId="6" fillId="0" borderId="18" xfId="7" applyFont="1" applyBorder="1" applyAlignment="1" applyProtection="1">
      <alignment vertical="center" wrapText="1"/>
    </xf>
    <xf numFmtId="0" fontId="9" fillId="0" borderId="11" xfId="37" quotePrefix="1" applyFont="1" applyBorder="1" applyAlignment="1">
      <alignment horizontal="right" vertical="center"/>
    </xf>
    <xf numFmtId="164" fontId="46" fillId="0" borderId="18" xfId="7" applyFont="1" applyBorder="1" applyAlignment="1" applyProtection="1">
      <alignment horizontal="center" vertical="center"/>
    </xf>
    <xf numFmtId="0" fontId="47" fillId="0" borderId="0" xfId="0" applyFont="1" applyAlignment="1">
      <alignment horizontal="left" vertical="center"/>
    </xf>
    <xf numFmtId="0" fontId="43" fillId="0" borderId="0" xfId="0" applyFont="1" applyAlignment="1">
      <alignment vertical="top"/>
    </xf>
    <xf numFmtId="164" fontId="43" fillId="0" borderId="0" xfId="0" applyNumberFormat="1" applyFont="1"/>
    <xf numFmtId="0" fontId="48" fillId="0" borderId="0" xfId="0" applyFont="1" applyAlignment="1" applyProtection="1">
      <alignment vertical="center"/>
      <protection hidden="1"/>
    </xf>
    <xf numFmtId="0" fontId="0" fillId="0" borderId="0" xfId="0" applyAlignment="1" applyProtection="1">
      <alignment vertical="center"/>
      <protection hidden="1"/>
    </xf>
    <xf numFmtId="0" fontId="47" fillId="0" borderId="0" xfId="0" applyFont="1" applyAlignment="1" applyProtection="1">
      <alignment horizontal="left" vertical="center"/>
      <protection hidden="1"/>
    </xf>
    <xf numFmtId="0" fontId="20" fillId="0" borderId="0" xfId="0" applyFont="1" applyProtection="1">
      <protection hidden="1"/>
    </xf>
    <xf numFmtId="0" fontId="34" fillId="0" borderId="14" xfId="0" applyFont="1" applyBorder="1" applyAlignment="1" applyProtection="1">
      <alignment horizontal="center" vertical="center" wrapText="1"/>
      <protection hidden="1"/>
    </xf>
    <xf numFmtId="164" fontId="34" fillId="0" borderId="14" xfId="7" applyFont="1" applyBorder="1" applyAlignment="1" applyProtection="1">
      <alignment horizontal="center" vertical="center" wrapText="1"/>
      <protection hidden="1"/>
    </xf>
    <xf numFmtId="0" fontId="34" fillId="0" borderId="18" xfId="0" applyFont="1" applyBorder="1" applyAlignment="1" applyProtection="1">
      <alignment horizontal="center" vertical="center"/>
      <protection hidden="1"/>
    </xf>
    <xf numFmtId="164" fontId="34" fillId="0" borderId="18" xfId="7" applyFont="1" applyFill="1" applyBorder="1" applyAlignment="1" applyProtection="1">
      <alignment horizontal="center" vertical="center"/>
      <protection hidden="1"/>
    </xf>
    <xf numFmtId="164" fontId="34" fillId="0" borderId="18" xfId="7" applyFont="1" applyFill="1" applyBorder="1" applyAlignment="1" applyProtection="1">
      <alignment horizontal="center" vertical="center" wrapText="1"/>
      <protection hidden="1"/>
    </xf>
    <xf numFmtId="164" fontId="20" fillId="0" borderId="0" xfId="7" applyFont="1" applyProtection="1">
      <protection hidden="1"/>
    </xf>
    <xf numFmtId="0" fontId="10" fillId="0" borderId="19" xfId="35" applyFont="1" applyBorder="1" applyAlignment="1" applyProtection="1">
      <alignment vertical="center"/>
      <protection hidden="1"/>
    </xf>
    <xf numFmtId="0" fontId="9" fillId="0" borderId="19" xfId="35" applyFont="1" applyBorder="1" applyAlignment="1" applyProtection="1">
      <alignment vertical="center"/>
      <protection hidden="1"/>
    </xf>
    <xf numFmtId="0" fontId="10" fillId="0" borderId="19" xfId="35" applyFont="1" applyBorder="1" applyAlignment="1" applyProtection="1">
      <alignment horizontal="right" vertical="center"/>
      <protection hidden="1"/>
    </xf>
    <xf numFmtId="0" fontId="12" fillId="0" borderId="0" xfId="24" applyProtection="1">
      <protection hidden="1"/>
    </xf>
    <xf numFmtId="0" fontId="9" fillId="0" borderId="0" xfId="35" applyFont="1" applyAlignment="1" applyProtection="1">
      <alignment vertical="center"/>
      <protection hidden="1"/>
    </xf>
    <xf numFmtId="0" fontId="10" fillId="0" borderId="0" xfId="35" applyFont="1" applyAlignment="1" applyProtection="1">
      <alignment horizontal="center" vertical="center"/>
      <protection hidden="1"/>
    </xf>
    <xf numFmtId="0" fontId="9" fillId="0" borderId="0" xfId="35" applyFont="1" applyAlignment="1" applyProtection="1">
      <alignment horizontal="left" vertical="center"/>
      <protection hidden="1"/>
    </xf>
    <xf numFmtId="173" fontId="9" fillId="0" borderId="0" xfId="35" applyNumberFormat="1" applyFont="1" applyAlignment="1" applyProtection="1">
      <alignment horizontal="left" vertical="center"/>
      <protection hidden="1"/>
    </xf>
    <xf numFmtId="0" fontId="9" fillId="0" borderId="0" xfId="36" applyAlignment="1" applyProtection="1">
      <alignment horizontal="left" vertical="center"/>
      <protection hidden="1"/>
    </xf>
    <xf numFmtId="0" fontId="10" fillId="0" borderId="0" xfId="36" applyFont="1" applyAlignment="1" applyProtection="1">
      <alignment horizontal="left" vertical="center"/>
      <protection hidden="1"/>
    </xf>
    <xf numFmtId="0" fontId="9" fillId="0" borderId="0" xfId="35" applyFont="1" applyAlignment="1" applyProtection="1">
      <alignment horizontal="justify" vertical="center"/>
      <protection hidden="1"/>
    </xf>
    <xf numFmtId="0" fontId="9" fillId="0" borderId="0" xfId="41" applyAlignment="1" applyProtection="1">
      <alignment horizontal="left" vertical="center"/>
      <protection hidden="1"/>
    </xf>
    <xf numFmtId="0" fontId="9" fillId="0" borderId="0" xfId="35" applyFont="1" applyAlignment="1" applyProtection="1">
      <alignment vertical="top"/>
      <protection hidden="1"/>
    </xf>
    <xf numFmtId="172" fontId="9" fillId="0" borderId="0" xfId="35" applyNumberFormat="1" applyFont="1" applyAlignment="1" applyProtection="1">
      <alignment horizontal="center" vertical="top"/>
      <protection hidden="1"/>
    </xf>
    <xf numFmtId="0" fontId="9" fillId="0" borderId="0" xfId="35" applyFont="1" applyAlignment="1" applyProtection="1">
      <alignment horizontal="justify" vertical="top"/>
      <protection hidden="1"/>
    </xf>
    <xf numFmtId="0" fontId="9" fillId="0" borderId="0" xfId="35" applyFont="1" applyAlignment="1" applyProtection="1">
      <alignment horizontal="justify"/>
      <protection hidden="1"/>
    </xf>
    <xf numFmtId="0" fontId="9" fillId="0" borderId="0" xfId="35" quotePrefix="1" applyFont="1" applyAlignment="1" applyProtection="1">
      <alignment horizontal="justify"/>
      <protection hidden="1"/>
    </xf>
    <xf numFmtId="4" fontId="8" fillId="0" borderId="0" xfId="35" quotePrefix="1" applyNumberFormat="1" applyFont="1" applyAlignment="1" applyProtection="1">
      <alignment vertical="center"/>
      <protection hidden="1"/>
    </xf>
    <xf numFmtId="172" fontId="9" fillId="0" borderId="0" xfId="35" applyNumberFormat="1" applyFont="1" applyAlignment="1" applyProtection="1">
      <alignment horizontal="center" vertical="center"/>
      <protection hidden="1"/>
    </xf>
    <xf numFmtId="0" fontId="9" fillId="0" borderId="0" xfId="35" applyFont="1" applyAlignment="1" applyProtection="1">
      <alignment horizontal="center" vertical="top"/>
      <protection hidden="1"/>
    </xf>
    <xf numFmtId="0" fontId="9" fillId="0" borderId="0" xfId="33" applyAlignment="1" applyProtection="1">
      <alignment vertical="center"/>
      <protection hidden="1"/>
    </xf>
    <xf numFmtId="0" fontId="9" fillId="0" borderId="0" xfId="33" applyAlignment="1" applyProtection="1">
      <alignment horizontal="center" vertical="center" wrapText="1"/>
      <protection hidden="1"/>
    </xf>
    <xf numFmtId="0" fontId="9" fillId="0" borderId="0" xfId="33" applyProtection="1">
      <protection hidden="1"/>
    </xf>
    <xf numFmtId="0" fontId="9" fillId="0" borderId="0" xfId="33" applyAlignment="1" applyProtection="1">
      <alignment horizontal="justify" vertical="center"/>
      <protection hidden="1"/>
    </xf>
    <xf numFmtId="172" fontId="9" fillId="0" borderId="0" xfId="33" applyNumberFormat="1" applyAlignment="1" applyProtection="1">
      <alignment horizontal="center" vertical="center"/>
      <protection hidden="1"/>
    </xf>
    <xf numFmtId="0" fontId="9" fillId="0" borderId="0" xfId="33" applyAlignment="1" applyProtection="1">
      <alignment horizontal="right" vertical="center"/>
      <protection hidden="1"/>
    </xf>
    <xf numFmtId="0" fontId="9" fillId="0" borderId="0" xfId="35" applyFont="1" applyProtection="1">
      <protection hidden="1"/>
    </xf>
    <xf numFmtId="173" fontId="10" fillId="0" borderId="0" xfId="35" applyNumberFormat="1" applyFont="1" applyAlignment="1" applyProtection="1">
      <alignment vertical="center"/>
      <protection hidden="1"/>
    </xf>
    <xf numFmtId="0" fontId="10" fillId="0" borderId="0" xfId="35" applyFont="1" applyAlignment="1" applyProtection="1">
      <alignment horizontal="right" vertical="center"/>
      <protection hidden="1"/>
    </xf>
    <xf numFmtId="0" fontId="10" fillId="0" borderId="0" xfId="35" applyFont="1" applyAlignment="1" applyProtection="1">
      <alignment horizontal="left" vertical="center" indent="2"/>
      <protection hidden="1"/>
    </xf>
    <xf numFmtId="0" fontId="10" fillId="0" borderId="0" xfId="35" applyFont="1" applyAlignment="1" applyProtection="1">
      <alignment horizontal="left" vertical="center" indent="1"/>
      <protection hidden="1"/>
    </xf>
    <xf numFmtId="0" fontId="9" fillId="0" borderId="0" xfId="35" applyFont="1" applyAlignment="1" applyProtection="1">
      <alignment horizontal="left" vertical="center" indent="1"/>
      <protection hidden="1"/>
    </xf>
    <xf numFmtId="0" fontId="9" fillId="0" borderId="0" xfId="33" applyAlignment="1" applyProtection="1">
      <alignment horizontal="left" vertical="center" indent="2"/>
      <protection hidden="1"/>
    </xf>
    <xf numFmtId="0" fontId="10" fillId="0" borderId="0" xfId="33" applyFont="1" applyAlignment="1" applyProtection="1">
      <alignment horizontal="left" vertical="center"/>
      <protection hidden="1"/>
    </xf>
    <xf numFmtId="173" fontId="10" fillId="0" borderId="0" xfId="33" applyNumberFormat="1" applyFont="1" applyAlignment="1" applyProtection="1">
      <alignment horizontal="left" vertical="center" indent="1"/>
      <protection hidden="1"/>
    </xf>
    <xf numFmtId="0" fontId="44" fillId="0" borderId="0" xfId="0" applyFont="1" applyAlignment="1">
      <alignment horizontal="center" vertical="center" wrapText="1"/>
    </xf>
    <xf numFmtId="0" fontId="6" fillId="0" borderId="14" xfId="0" applyFont="1" applyBorder="1" applyAlignment="1">
      <alignment horizontal="center" vertical="center" wrapText="1"/>
    </xf>
    <xf numFmtId="0" fontId="6" fillId="0" borderId="18" xfId="0" applyFont="1" applyBorder="1" applyAlignment="1">
      <alignment horizontal="center" vertical="center"/>
    </xf>
    <xf numFmtId="2" fontId="6" fillId="0" borderId="18" xfId="0" applyNumberFormat="1" applyFont="1" applyBorder="1" applyAlignment="1">
      <alignment horizontal="right" vertical="center"/>
    </xf>
    <xf numFmtId="0" fontId="0" fillId="0" borderId="18" xfId="0" applyBorder="1" applyAlignment="1">
      <alignment vertical="center" wrapText="1"/>
    </xf>
    <xf numFmtId="0" fontId="48" fillId="0" borderId="0" xfId="0" applyFont="1" applyAlignment="1">
      <alignment vertical="center"/>
    </xf>
    <xf numFmtId="0" fontId="0" fillId="0" borderId="0" xfId="0" applyAlignment="1">
      <alignment vertical="center"/>
    </xf>
    <xf numFmtId="1" fontId="0" fillId="0" borderId="0" xfId="0" applyNumberFormat="1"/>
    <xf numFmtId="9" fontId="40" fillId="0" borderId="18" xfId="0" applyNumberFormat="1" applyFont="1" applyBorder="1" applyAlignment="1">
      <alignment horizontal="center" vertical="center" wrapText="1"/>
    </xf>
    <xf numFmtId="0" fontId="31" fillId="8" borderId="18" xfId="0" applyFont="1" applyFill="1" applyBorder="1" applyAlignment="1">
      <alignment horizontal="center" vertical="center" wrapText="1"/>
    </xf>
    <xf numFmtId="0" fontId="53" fillId="8" borderId="18" xfId="48" applyFont="1" applyFill="1" applyBorder="1" applyAlignment="1">
      <alignment horizontal="center" vertical="center" wrapText="1" readingOrder="1"/>
    </xf>
    <xf numFmtId="0" fontId="53" fillId="8" borderId="18" xfId="34" applyFont="1" applyFill="1" applyBorder="1" applyAlignment="1">
      <alignment horizontal="left" vertical="center" readingOrder="1"/>
    </xf>
    <xf numFmtId="0" fontId="43" fillId="8" borderId="18" xfId="0" applyFont="1" applyFill="1" applyBorder="1" applyAlignment="1">
      <alignment horizontal="center"/>
    </xf>
    <xf numFmtId="9" fontId="43" fillId="8" borderId="18" xfId="0" applyNumberFormat="1" applyFont="1" applyFill="1" applyBorder="1" applyAlignment="1">
      <alignment horizontal="center" vertical="top"/>
    </xf>
    <xf numFmtId="0" fontId="43" fillId="8" borderId="18" xfId="0" applyFont="1" applyFill="1" applyBorder="1"/>
    <xf numFmtId="0" fontId="31" fillId="8" borderId="18" xfId="0" applyFont="1" applyFill="1" applyBorder="1" applyAlignment="1">
      <alignment horizontal="center" vertical="top" wrapText="1"/>
    </xf>
    <xf numFmtId="0" fontId="43" fillId="8" borderId="18" xfId="0" applyFont="1" applyFill="1" applyBorder="1" applyAlignment="1">
      <alignment horizontal="center" vertical="top"/>
    </xf>
    <xf numFmtId="2" fontId="43" fillId="8" borderId="18" xfId="0" applyNumberFormat="1" applyFont="1" applyFill="1" applyBorder="1" applyAlignment="1">
      <alignment vertical="top"/>
    </xf>
    <xf numFmtId="10" fontId="43" fillId="8" borderId="18" xfId="0" applyNumberFormat="1" applyFont="1" applyFill="1" applyBorder="1" applyAlignment="1">
      <alignment vertical="top"/>
    </xf>
    <xf numFmtId="10" fontId="55" fillId="0" borderId="18" xfId="0" applyNumberFormat="1" applyFont="1" applyBorder="1" applyAlignment="1">
      <alignment horizontal="center" vertical="center"/>
    </xf>
    <xf numFmtId="164" fontId="46" fillId="7" borderId="18" xfId="7" applyFont="1" applyFill="1" applyBorder="1" applyAlignment="1" applyProtection="1">
      <alignment horizontal="center" vertical="center"/>
    </xf>
    <xf numFmtId="164" fontId="6" fillId="7" borderId="18" xfId="7" applyFont="1" applyFill="1" applyBorder="1" applyProtection="1"/>
    <xf numFmtId="0" fontId="41" fillId="7" borderId="18" xfId="0" applyFont="1" applyFill="1" applyBorder="1" applyAlignment="1">
      <alignment horizontal="center" vertical="center"/>
    </xf>
    <xf numFmtId="0" fontId="6" fillId="7" borderId="44"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44" fillId="7" borderId="14" xfId="0" applyFont="1" applyFill="1" applyBorder="1" applyAlignment="1">
      <alignment horizontal="center" vertical="center" wrapText="1"/>
    </xf>
    <xf numFmtId="0" fontId="44" fillId="7" borderId="44"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27" fillId="7" borderId="18" xfId="0" applyFont="1" applyFill="1" applyBorder="1" applyAlignment="1">
      <alignment vertical="center" wrapText="1"/>
    </xf>
    <xf numFmtId="0" fontId="6" fillId="7" borderId="14" xfId="0" applyFont="1" applyFill="1" applyBorder="1" applyAlignment="1">
      <alignment horizontal="center" vertical="center"/>
    </xf>
    <xf numFmtId="0" fontId="6" fillId="7" borderId="18" xfId="0" applyFont="1" applyFill="1" applyBorder="1" applyAlignment="1">
      <alignment horizontal="center" vertical="center"/>
    </xf>
    <xf numFmtId="0" fontId="7" fillId="7" borderId="18" xfId="0" applyFont="1" applyFill="1" applyBorder="1" applyAlignment="1">
      <alignment horizontal="justify" vertical="center" wrapText="1"/>
    </xf>
    <xf numFmtId="0" fontId="6" fillId="7" borderId="18" xfId="0" applyFont="1" applyFill="1" applyBorder="1" applyAlignment="1">
      <alignment vertical="center"/>
    </xf>
    <xf numFmtId="164" fontId="8" fillId="7" borderId="18" xfId="7" applyFont="1" applyFill="1" applyBorder="1" applyAlignment="1" applyProtection="1">
      <alignment vertical="center"/>
    </xf>
    <xf numFmtId="0" fontId="57" fillId="0" borderId="18" xfId="0" applyFont="1" applyBorder="1" applyAlignment="1">
      <alignment horizontal="center" vertical="center" wrapText="1"/>
    </xf>
    <xf numFmtId="0" fontId="43" fillId="9" borderId="18" xfId="0" applyFont="1" applyFill="1" applyBorder="1" applyAlignment="1" applyProtection="1">
      <alignment horizontal="center"/>
      <protection locked="0"/>
    </xf>
    <xf numFmtId="0" fontId="43" fillId="9" borderId="18" xfId="0" applyFont="1" applyFill="1" applyBorder="1" applyProtection="1">
      <protection locked="0"/>
    </xf>
    <xf numFmtId="0" fontId="43" fillId="9" borderId="18" xfId="0" applyFont="1" applyFill="1" applyBorder="1" applyAlignment="1" applyProtection="1">
      <alignment vertical="center"/>
      <protection locked="0"/>
    </xf>
    <xf numFmtId="10" fontId="54" fillId="9" borderId="18" xfId="0" applyNumberFormat="1" applyFont="1" applyFill="1" applyBorder="1" applyAlignment="1" applyProtection="1">
      <alignment vertical="center" wrapText="1"/>
      <protection locked="0"/>
    </xf>
    <xf numFmtId="0" fontId="6" fillId="0" borderId="18" xfId="0" applyFont="1" applyBorder="1" applyAlignment="1">
      <alignment horizontal="center" vertical="top"/>
    </xf>
    <xf numFmtId="0" fontId="59" fillId="8" borderId="18" xfId="0" applyFont="1" applyFill="1" applyBorder="1" applyAlignment="1">
      <alignment horizontal="justify" vertical="center" wrapText="1"/>
    </xf>
    <xf numFmtId="2" fontId="6" fillId="9" borderId="14" xfId="0" applyNumberFormat="1" applyFont="1" applyFill="1" applyBorder="1" applyAlignment="1" applyProtection="1">
      <alignment horizontal="center" vertical="center"/>
      <protection locked="0"/>
    </xf>
    <xf numFmtId="0" fontId="6" fillId="9" borderId="18" xfId="0" applyFont="1" applyFill="1" applyBorder="1" applyAlignment="1" applyProtection="1">
      <alignment horizontal="center" vertical="center"/>
      <protection locked="0"/>
    </xf>
    <xf numFmtId="0" fontId="6" fillId="9" borderId="14" xfId="0" applyFont="1" applyFill="1" applyBorder="1" applyAlignment="1" applyProtection="1">
      <alignment horizontal="center" vertical="center"/>
      <protection locked="0"/>
    </xf>
    <xf numFmtId="0" fontId="43" fillId="9" borderId="44" xfId="0" applyFont="1" applyFill="1" applyBorder="1" applyAlignment="1" applyProtection="1">
      <alignment vertical="center"/>
      <protection locked="0"/>
    </xf>
    <xf numFmtId="176" fontId="6" fillId="0" borderId="18" xfId="7" applyNumberFormat="1" applyFont="1" applyBorder="1" applyAlignment="1" applyProtection="1">
      <alignment horizontal="center" vertical="center"/>
    </xf>
    <xf numFmtId="9" fontId="21" fillId="0" borderId="18" xfId="0" applyNumberFormat="1" applyFont="1" applyBorder="1" applyAlignment="1">
      <alignment horizontal="center" vertical="center"/>
    </xf>
    <xf numFmtId="0" fontId="21" fillId="0" borderId="18" xfId="0" applyFont="1" applyBorder="1" applyAlignment="1">
      <alignment horizontal="justify" vertical="top" wrapText="1"/>
    </xf>
    <xf numFmtId="164" fontId="8" fillId="7" borderId="18" xfId="7" applyFont="1" applyFill="1" applyBorder="1" applyAlignment="1" applyProtection="1">
      <alignment horizontal="center" vertical="center"/>
    </xf>
    <xf numFmtId="0" fontId="41" fillId="8" borderId="18" xfId="0" applyFont="1" applyFill="1" applyBorder="1" applyAlignment="1">
      <alignment horizontal="center" vertical="center"/>
    </xf>
    <xf numFmtId="0" fontId="6" fillId="8" borderId="44"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44" fillId="8" borderId="44" xfId="0" applyFont="1" applyFill="1" applyBorder="1" applyAlignment="1">
      <alignment horizontal="center" vertical="center" wrapText="1"/>
    </xf>
    <xf numFmtId="0" fontId="12" fillId="8" borderId="18" xfId="0" applyFont="1" applyFill="1" applyBorder="1" applyAlignment="1">
      <alignment horizontal="center" vertical="center" wrapText="1"/>
    </xf>
    <xf numFmtId="0" fontId="27" fillId="8" borderId="18" xfId="0" applyFont="1" applyFill="1" applyBorder="1" applyAlignment="1">
      <alignment vertical="center" wrapText="1"/>
    </xf>
    <xf numFmtId="0" fontId="31" fillId="7" borderId="18" xfId="0" applyFont="1" applyFill="1" applyBorder="1" applyAlignment="1">
      <alignment horizontal="center" vertical="top" wrapText="1"/>
    </xf>
    <xf numFmtId="0" fontId="31" fillId="7" borderId="18" xfId="0" applyFont="1" applyFill="1" applyBorder="1" applyAlignment="1">
      <alignment horizontal="center" vertical="center" wrapText="1"/>
    </xf>
    <xf numFmtId="0" fontId="53" fillId="7" borderId="18" xfId="48" applyFont="1" applyFill="1" applyBorder="1" applyAlignment="1">
      <alignment horizontal="center" vertical="center" wrapText="1" readingOrder="1"/>
    </xf>
    <xf numFmtId="0" fontId="53" fillId="7" borderId="18" xfId="34" applyFont="1" applyFill="1" applyBorder="1" applyAlignment="1">
      <alignment horizontal="left" vertical="center" readingOrder="1"/>
    </xf>
    <xf numFmtId="0" fontId="43" fillId="7" borderId="18" xfId="0" applyFont="1" applyFill="1" applyBorder="1" applyAlignment="1">
      <alignment horizontal="center"/>
    </xf>
    <xf numFmtId="9" fontId="43" fillId="7" borderId="18" xfId="0" applyNumberFormat="1" applyFont="1" applyFill="1" applyBorder="1" applyAlignment="1">
      <alignment horizontal="center" vertical="top"/>
    </xf>
    <xf numFmtId="0" fontId="43" fillId="7" borderId="18" xfId="0" applyFont="1" applyFill="1" applyBorder="1"/>
    <xf numFmtId="0" fontId="59" fillId="7" borderId="18" xfId="0" applyFont="1" applyFill="1" applyBorder="1" applyAlignment="1">
      <alignment horizontal="justify" vertical="center" wrapText="1"/>
    </xf>
    <xf numFmtId="0" fontId="43" fillId="7" borderId="18" xfId="0" applyFont="1" applyFill="1" applyBorder="1" applyAlignment="1">
      <alignment horizontal="center" vertical="top"/>
    </xf>
    <xf numFmtId="2" fontId="43" fillId="7" borderId="18" xfId="0" applyNumberFormat="1" applyFont="1" applyFill="1" applyBorder="1" applyAlignment="1">
      <alignment vertical="top"/>
    </xf>
    <xf numFmtId="10" fontId="43" fillId="7" borderId="18" xfId="0" applyNumberFormat="1" applyFont="1" applyFill="1" applyBorder="1" applyAlignment="1">
      <alignment vertical="top"/>
    </xf>
    <xf numFmtId="164" fontId="44" fillId="7" borderId="18" xfId="7" applyFont="1" applyFill="1" applyBorder="1" applyAlignment="1" applyProtection="1">
      <alignment vertical="top"/>
    </xf>
    <xf numFmtId="164" fontId="49" fillId="7" borderId="18" xfId="7" applyFont="1" applyFill="1" applyBorder="1" applyAlignment="1" applyProtection="1">
      <alignment horizontal="center" vertical="center" wrapText="1"/>
    </xf>
    <xf numFmtId="0" fontId="4" fillId="0" borderId="0" xfId="0" applyFont="1" applyAlignment="1" applyProtection="1">
      <alignment vertical="center"/>
      <protection hidden="1"/>
    </xf>
    <xf numFmtId="0" fontId="4" fillId="0" borderId="0" xfId="0" applyFont="1" applyAlignment="1" applyProtection="1">
      <alignment horizontal="left"/>
      <protection hidden="1"/>
    </xf>
    <xf numFmtId="164" fontId="4" fillId="0" borderId="0" xfId="7" applyFont="1" applyBorder="1" applyAlignment="1" applyProtection="1">
      <alignment horizontal="center" vertical="center"/>
      <protection hidden="1"/>
    </xf>
    <xf numFmtId="0" fontId="4" fillId="0" borderId="0" xfId="0" applyFont="1" applyAlignment="1" applyProtection="1">
      <alignment vertical="top"/>
      <protection hidden="1"/>
    </xf>
    <xf numFmtId="164" fontId="4" fillId="0" borderId="18" xfId="7" applyFont="1" applyBorder="1" applyAlignment="1" applyProtection="1">
      <alignment horizontal="center" vertical="top"/>
      <protection hidden="1"/>
    </xf>
    <xf numFmtId="164" fontId="4" fillId="0" borderId="18" xfId="7" applyFont="1" applyBorder="1" applyAlignment="1" applyProtection="1">
      <alignment horizontal="center" vertical="center"/>
      <protection hidden="1"/>
    </xf>
    <xf numFmtId="164" fontId="4" fillId="0" borderId="18" xfId="7" applyFont="1" applyFill="1" applyBorder="1" applyAlignment="1" applyProtection="1">
      <alignment horizontal="center" vertical="center"/>
      <protection hidden="1"/>
    </xf>
    <xf numFmtId="0" fontId="4" fillId="0" borderId="39" xfId="0" applyFont="1" applyBorder="1" applyAlignment="1" applyProtection="1">
      <alignment vertical="center" wrapText="1"/>
      <protection hidden="1"/>
    </xf>
    <xf numFmtId="0" fontId="4" fillId="0" borderId="40" xfId="0" applyFont="1" applyBorder="1" applyAlignment="1" applyProtection="1">
      <alignment vertical="center" wrapText="1"/>
      <protection hidden="1"/>
    </xf>
    <xf numFmtId="164" fontId="4" fillId="0" borderId="41" xfId="7" applyFont="1" applyBorder="1" applyAlignment="1" applyProtection="1">
      <alignment horizontal="center" vertical="center" wrapText="1"/>
      <protection hidden="1"/>
    </xf>
    <xf numFmtId="0" fontId="4" fillId="0" borderId="42" xfId="0" applyFont="1" applyBorder="1" applyAlignment="1" applyProtection="1">
      <alignment horizontal="justify" vertical="center"/>
      <protection hidden="1"/>
    </xf>
    <xf numFmtId="0" fontId="4" fillId="0" borderId="0" xfId="0" applyFont="1" applyProtection="1">
      <protection hidden="1"/>
    </xf>
    <xf numFmtId="164" fontId="4" fillId="0" borderId="43" xfId="7" applyFont="1" applyBorder="1" applyAlignment="1" applyProtection="1">
      <alignment horizontal="center"/>
      <protection hidden="1"/>
    </xf>
    <xf numFmtId="0" fontId="4" fillId="0" borderId="42" xfId="0" applyFont="1" applyBorder="1" applyAlignment="1" applyProtection="1">
      <alignment vertical="center"/>
      <protection hidden="1"/>
    </xf>
    <xf numFmtId="0" fontId="4" fillId="0" borderId="44" xfId="0" applyFont="1" applyBorder="1" applyAlignment="1" applyProtection="1">
      <alignment vertical="center"/>
      <protection hidden="1"/>
    </xf>
    <xf numFmtId="0" fontId="4" fillId="0" borderId="19" xfId="0" applyFont="1" applyBorder="1" applyProtection="1">
      <protection hidden="1"/>
    </xf>
    <xf numFmtId="0" fontId="4" fillId="0" borderId="19" xfId="0" applyFont="1" applyBorder="1" applyAlignment="1" applyProtection="1">
      <alignment vertical="center"/>
      <protection hidden="1"/>
    </xf>
    <xf numFmtId="164" fontId="4" fillId="0" borderId="30" xfId="7" applyFont="1" applyBorder="1" applyAlignment="1" applyProtection="1">
      <alignment horizontal="center"/>
      <protection hidden="1"/>
    </xf>
    <xf numFmtId="0" fontId="7" fillId="10" borderId="54" xfId="0" applyFont="1" applyFill="1" applyBorder="1" applyAlignment="1">
      <alignment horizontal="center" vertical="top" wrapText="1"/>
    </xf>
    <xf numFmtId="0" fontId="21" fillId="10" borderId="54" xfId="0" applyFont="1" applyFill="1" applyBorder="1" applyAlignment="1">
      <alignment horizontal="justify" vertical="top" wrapText="1"/>
    </xf>
    <xf numFmtId="164" fontId="43" fillId="11" borderId="18" xfId="7" applyFont="1" applyFill="1" applyBorder="1" applyAlignment="1" applyProtection="1">
      <alignment vertical="center"/>
    </xf>
    <xf numFmtId="2" fontId="43" fillId="11" borderId="18" xfId="0" applyNumberFormat="1" applyFont="1" applyFill="1" applyBorder="1" applyAlignment="1">
      <alignment vertical="top"/>
    </xf>
    <xf numFmtId="0" fontId="58" fillId="0" borderId="18" xfId="0" applyFont="1" applyBorder="1" applyAlignment="1">
      <alignment horizontal="center" vertical="top"/>
    </xf>
    <xf numFmtId="0" fontId="21" fillId="10" borderId="54" xfId="0" applyFont="1" applyFill="1" applyBorder="1" applyAlignment="1">
      <alignment horizontal="center" vertical="center"/>
    </xf>
    <xf numFmtId="2" fontId="21" fillId="10" borderId="54" xfId="0" applyNumberFormat="1" applyFont="1" applyFill="1" applyBorder="1" applyAlignment="1">
      <alignment horizontal="center" vertical="center" wrapText="1"/>
    </xf>
    <xf numFmtId="0" fontId="21" fillId="10" borderId="54" xfId="0" applyFont="1" applyFill="1" applyBorder="1" applyAlignment="1">
      <alignment horizontal="center" vertical="center" wrapText="1"/>
    </xf>
    <xf numFmtId="0" fontId="21" fillId="0" borderId="54" xfId="0" applyFont="1" applyBorder="1" applyAlignment="1">
      <alignment horizontal="center" vertical="center"/>
    </xf>
    <xf numFmtId="0" fontId="43" fillId="0" borderId="0" xfId="0" applyFont="1" applyAlignment="1">
      <alignment vertical="center"/>
    </xf>
    <xf numFmtId="0" fontId="43" fillId="8" borderId="18" xfId="0" applyFont="1" applyFill="1" applyBorder="1" applyAlignment="1">
      <alignment horizontal="center" vertical="center"/>
    </xf>
    <xf numFmtId="0" fontId="43" fillId="7" borderId="18" xfId="0" applyFont="1" applyFill="1" applyBorder="1" applyAlignment="1">
      <alignment horizontal="center" vertical="center"/>
    </xf>
    <xf numFmtId="0" fontId="21" fillId="10" borderId="54" xfId="0" applyFont="1" applyFill="1" applyBorder="1" applyAlignment="1">
      <alignment horizontal="left" vertical="top" wrapText="1"/>
    </xf>
    <xf numFmtId="0" fontId="7" fillId="0" borderId="18" xfId="0" applyFont="1" applyBorder="1" applyAlignment="1">
      <alignment horizontal="justify" vertical="top" wrapText="1"/>
    </xf>
    <xf numFmtId="0" fontId="7" fillId="10" borderId="54" xfId="0" applyFont="1" applyFill="1" applyBorder="1" applyAlignment="1">
      <alignment horizontal="center" vertical="center" wrapText="1"/>
    </xf>
    <xf numFmtId="0" fontId="12" fillId="0" borderId="18" xfId="26" applyBorder="1" applyAlignment="1">
      <alignment horizontal="center" vertical="center" wrapText="1"/>
    </xf>
    <xf numFmtId="0" fontId="21" fillId="0" borderId="18" xfId="0" applyFont="1" applyBorder="1" applyAlignment="1">
      <alignment horizontal="justify" vertical="center" wrapText="1"/>
    </xf>
    <xf numFmtId="0" fontId="43" fillId="11" borderId="0" xfId="0" applyFont="1" applyFill="1" applyAlignment="1">
      <alignment vertical="center"/>
    </xf>
    <xf numFmtId="0" fontId="7" fillId="0" borderId="18" xfId="0" applyFont="1" applyBorder="1" applyAlignment="1">
      <alignment horizontal="center" vertical="top" wrapText="1"/>
    </xf>
    <xf numFmtId="49" fontId="31" fillId="10" borderId="54" xfId="0" applyNumberFormat="1" applyFont="1" applyFill="1" applyBorder="1" applyAlignment="1">
      <alignment horizontal="center" vertical="center" wrapText="1"/>
    </xf>
    <xf numFmtId="1" fontId="21" fillId="10" borderId="54" xfId="0" applyNumberFormat="1" applyFont="1" applyFill="1" applyBorder="1" applyAlignment="1">
      <alignment horizontal="center" vertical="center"/>
    </xf>
    <xf numFmtId="164" fontId="7" fillId="7" borderId="18" xfId="7" applyFont="1" applyFill="1" applyBorder="1" applyAlignment="1">
      <alignment horizontal="center" vertical="center" wrapText="1"/>
    </xf>
    <xf numFmtId="0" fontId="4" fillId="0" borderId="18" xfId="0" applyFont="1" applyBorder="1" applyAlignment="1">
      <alignment horizontal="center" vertical="center"/>
    </xf>
    <xf numFmtId="1" fontId="58" fillId="0" borderId="18" xfId="49" applyNumberFormat="1" applyFont="1" applyBorder="1" applyAlignment="1">
      <alignment horizontal="center" vertical="center" wrapText="1"/>
    </xf>
    <xf numFmtId="0" fontId="8" fillId="0" borderId="18" xfId="0" applyFont="1" applyBorder="1" applyAlignment="1">
      <alignment horizontal="left" vertical="center" wrapText="1"/>
    </xf>
    <xf numFmtId="0" fontId="7" fillId="7" borderId="18" xfId="0" applyFont="1" applyFill="1" applyBorder="1" applyAlignment="1">
      <alignment horizontal="left" vertical="center" wrapText="1"/>
    </xf>
    <xf numFmtId="0" fontId="21" fillId="10" borderId="54" xfId="0" applyFont="1" applyFill="1" applyBorder="1" applyAlignment="1">
      <alignment horizontal="left" vertical="center" wrapText="1"/>
    </xf>
    <xf numFmtId="0" fontId="7" fillId="8" borderId="18" xfId="0" applyFont="1" applyFill="1" applyBorder="1" applyAlignment="1">
      <alignment horizontal="left" vertical="center" wrapText="1"/>
    </xf>
    <xf numFmtId="0" fontId="0" fillId="0" borderId="0" xfId="0" applyAlignment="1" applyProtection="1">
      <alignment horizontal="left" vertical="center"/>
      <protection hidden="1"/>
    </xf>
    <xf numFmtId="177" fontId="4" fillId="0" borderId="0" xfId="0" applyNumberFormat="1" applyFont="1" applyProtection="1">
      <protection hidden="1"/>
    </xf>
    <xf numFmtId="2" fontId="61" fillId="10" borderId="18" xfId="0" applyNumberFormat="1" applyFont="1" applyFill="1" applyBorder="1" applyAlignment="1">
      <alignment horizontal="justify" vertical="top" wrapText="1"/>
    </xf>
    <xf numFmtId="0" fontId="61" fillId="10" borderId="18" xfId="0" applyFont="1" applyFill="1" applyBorder="1" applyAlignment="1">
      <alignment horizontal="justify" vertical="top" wrapText="1"/>
    </xf>
    <xf numFmtId="49" fontId="62" fillId="10" borderId="18" xfId="0" quotePrefix="1" applyNumberFormat="1" applyFont="1" applyFill="1" applyBorder="1" applyAlignment="1">
      <alignment horizontal="center" vertical="top" wrapText="1"/>
    </xf>
    <xf numFmtId="0" fontId="21" fillId="10" borderId="55" xfId="0" applyFont="1" applyFill="1" applyBorder="1" applyAlignment="1">
      <alignment horizontal="center" vertical="center"/>
    </xf>
    <xf numFmtId="164" fontId="43" fillId="0" borderId="18" xfId="7" applyFont="1" applyFill="1" applyBorder="1" applyAlignment="1" applyProtection="1">
      <alignment vertical="center"/>
    </xf>
    <xf numFmtId="49" fontId="62" fillId="10" borderId="18" xfId="0" applyNumberFormat="1" applyFont="1" applyFill="1" applyBorder="1" applyAlignment="1">
      <alignment horizontal="center" vertical="center" wrapText="1"/>
    </xf>
    <xf numFmtId="0" fontId="61" fillId="10" borderId="18" xfId="0" applyFont="1" applyFill="1" applyBorder="1" applyAlignment="1">
      <alignment horizontal="justify" vertical="center" wrapText="1"/>
    </xf>
    <xf numFmtId="0" fontId="61" fillId="10" borderId="18" xfId="0" applyFont="1" applyFill="1" applyBorder="1" applyAlignment="1">
      <alignment horizontal="center" vertical="center"/>
    </xf>
    <xf numFmtId="49" fontId="62" fillId="10" borderId="14" xfId="0" applyNumberFormat="1" applyFont="1" applyFill="1" applyBorder="1" applyAlignment="1">
      <alignment horizontal="center" vertical="center" wrapText="1"/>
    </xf>
    <xf numFmtId="1" fontId="21" fillId="10" borderId="55" xfId="0" applyNumberFormat="1" applyFont="1" applyFill="1" applyBorder="1" applyAlignment="1">
      <alignment horizontal="center" vertical="center"/>
    </xf>
    <xf numFmtId="0" fontId="21" fillId="10" borderId="18" xfId="0" applyFont="1" applyFill="1" applyBorder="1" applyAlignment="1">
      <alignment horizontal="justify" vertical="top" wrapText="1"/>
    </xf>
    <xf numFmtId="0" fontId="62" fillId="10" borderId="18" xfId="0" applyFont="1" applyFill="1" applyBorder="1" applyAlignment="1">
      <alignment horizontal="justify" vertical="center" wrapText="1"/>
    </xf>
    <xf numFmtId="0" fontId="6" fillId="0" borderId="18" xfId="0" applyFont="1" applyBorder="1" applyAlignment="1">
      <alignment horizontal="left" vertical="center"/>
    </xf>
    <xf numFmtId="172" fontId="64" fillId="10" borderId="18" xfId="53" applyNumberFormat="1" applyFont="1" applyFill="1" applyBorder="1" applyAlignment="1">
      <alignment horizontal="center" vertical="center" wrapText="1"/>
    </xf>
    <xf numFmtId="0" fontId="43" fillId="8" borderId="0" xfId="0" applyFont="1" applyFill="1" applyAlignment="1">
      <alignment horizontal="center" vertical="center"/>
    </xf>
    <xf numFmtId="0" fontId="43" fillId="8" borderId="0" xfId="0" applyFont="1" applyFill="1" applyAlignment="1">
      <alignment horizontal="center" vertical="top"/>
    </xf>
    <xf numFmtId="0" fontId="62" fillId="10" borderId="18" xfId="0" quotePrefix="1" applyFont="1" applyFill="1" applyBorder="1" applyAlignment="1">
      <alignment horizontal="center" vertical="center" wrapText="1"/>
    </xf>
    <xf numFmtId="0" fontId="61" fillId="10" borderId="18" xfId="0" applyFont="1" applyFill="1" applyBorder="1" applyAlignment="1">
      <alignment horizontal="center" vertical="center" wrapText="1"/>
    </xf>
    <xf numFmtId="49" fontId="62" fillId="10" borderId="18" xfId="0" quotePrefix="1" applyNumberFormat="1" applyFont="1" applyFill="1" applyBorder="1" applyAlignment="1">
      <alignment horizontal="center" vertical="center" wrapText="1"/>
    </xf>
    <xf numFmtId="0" fontId="61" fillId="10" borderId="0" xfId="0" applyFont="1" applyFill="1" applyAlignment="1">
      <alignment horizontal="center" vertical="center"/>
    </xf>
    <xf numFmtId="0" fontId="21" fillId="10" borderId="56" xfId="0" applyFont="1" applyFill="1" applyBorder="1" applyAlignment="1">
      <alignment horizontal="center" vertical="center"/>
    </xf>
    <xf numFmtId="0" fontId="21" fillId="10" borderId="18" xfId="0" applyFont="1" applyFill="1" applyBorder="1" applyAlignment="1">
      <alignment horizontal="center" vertical="center"/>
    </xf>
    <xf numFmtId="164" fontId="6" fillId="0" borderId="18" xfId="7" applyFont="1" applyFill="1" applyBorder="1" applyAlignment="1" applyProtection="1">
      <alignment horizontal="center" vertical="center"/>
    </xf>
    <xf numFmtId="0" fontId="43" fillId="11" borderId="18" xfId="0" applyFont="1" applyFill="1" applyBorder="1" applyAlignment="1">
      <alignment vertical="center"/>
    </xf>
    <xf numFmtId="178" fontId="65" fillId="10" borderId="18" xfId="53" applyNumberFormat="1" applyFont="1" applyFill="1" applyBorder="1" applyAlignment="1">
      <alignment horizontal="center" vertical="center" wrapText="1"/>
    </xf>
    <xf numFmtId="178" fontId="65" fillId="10" borderId="18" xfId="52" applyNumberFormat="1" applyFont="1" applyFill="1" applyBorder="1" applyAlignment="1">
      <alignment horizontal="center" vertical="center" wrapText="1"/>
    </xf>
    <xf numFmtId="179" fontId="66" fillId="10" borderId="18" xfId="53" applyNumberFormat="1" applyFont="1" applyFill="1" applyBorder="1" applyAlignment="1">
      <alignment horizontal="justify" vertical="top" wrapText="1"/>
    </xf>
    <xf numFmtId="179" fontId="66" fillId="10" borderId="18" xfId="53" applyNumberFormat="1" applyFont="1" applyFill="1" applyBorder="1" applyAlignment="1">
      <alignment horizontal="justify" vertical="center" wrapText="1"/>
    </xf>
    <xf numFmtId="179" fontId="66" fillId="10" borderId="18" xfId="53" quotePrefix="1" applyNumberFormat="1" applyFont="1" applyFill="1" applyBorder="1" applyAlignment="1">
      <alignment horizontal="justify" vertical="center" wrapText="1"/>
    </xf>
    <xf numFmtId="179" fontId="66" fillId="10" borderId="18" xfId="53" quotePrefix="1" applyNumberFormat="1" applyFont="1" applyFill="1" applyBorder="1" applyAlignment="1">
      <alignment horizontal="center" vertical="center" wrapText="1"/>
    </xf>
    <xf numFmtId="179" fontId="66" fillId="10" borderId="18" xfId="53" applyNumberFormat="1" applyFont="1" applyFill="1" applyBorder="1" applyAlignment="1">
      <alignment horizontal="center" vertical="center" wrapText="1"/>
    </xf>
    <xf numFmtId="171" fontId="65" fillId="10" borderId="18" xfId="53" applyNumberFormat="1" applyFont="1" applyFill="1" applyBorder="1" applyAlignment="1">
      <alignment horizontal="center" vertical="center"/>
    </xf>
    <xf numFmtId="0" fontId="66" fillId="10" borderId="18" xfId="52" applyFont="1" applyFill="1" applyBorder="1" applyAlignment="1">
      <alignment horizontal="justify" vertical="top" wrapText="1"/>
    </xf>
    <xf numFmtId="2" fontId="65" fillId="10" borderId="18" xfId="53" applyNumberFormat="1" applyFont="1" applyFill="1" applyBorder="1" applyAlignment="1">
      <alignment horizontal="center" vertical="center"/>
    </xf>
    <xf numFmtId="178" fontId="65" fillId="10" borderId="18" xfId="53" quotePrefix="1" applyNumberFormat="1" applyFont="1" applyFill="1" applyBorder="1" applyAlignment="1">
      <alignment horizontal="center" vertical="center" wrapText="1"/>
    </xf>
    <xf numFmtId="0" fontId="66" fillId="10" borderId="18" xfId="52" applyFont="1" applyFill="1" applyBorder="1" applyAlignment="1">
      <alignment horizontal="justify" vertical="center" wrapText="1"/>
    </xf>
    <xf numFmtId="0" fontId="62" fillId="10" borderId="18" xfId="0" applyFont="1" applyFill="1" applyBorder="1" applyAlignment="1">
      <alignment horizontal="center" vertical="center"/>
    </xf>
    <xf numFmtId="1" fontId="65" fillId="10" borderId="57" xfId="53" applyNumberFormat="1" applyFont="1" applyFill="1" applyBorder="1" applyAlignment="1">
      <alignment horizontal="center" vertical="center" wrapText="1"/>
    </xf>
    <xf numFmtId="172" fontId="65" fillId="10" borderId="18" xfId="53" applyNumberFormat="1" applyFont="1" applyFill="1" applyBorder="1" applyAlignment="1">
      <alignment horizontal="center" vertical="center" wrapText="1"/>
    </xf>
    <xf numFmtId="0" fontId="66" fillId="10" borderId="18" xfId="53" applyFont="1" applyFill="1" applyBorder="1" applyAlignment="1">
      <alignment horizontal="justify" vertical="top" wrapText="1"/>
    </xf>
    <xf numFmtId="2" fontId="66" fillId="10" borderId="18" xfId="53" applyNumberFormat="1" applyFont="1" applyFill="1" applyBorder="1" applyAlignment="1">
      <alignment horizontal="center" vertical="center"/>
    </xf>
    <xf numFmtId="179" fontId="66" fillId="10" borderId="18" xfId="53" applyNumberFormat="1" applyFont="1" applyFill="1" applyBorder="1" applyAlignment="1">
      <alignment horizontal="left" vertical="center" wrapText="1"/>
    </xf>
    <xf numFmtId="0" fontId="66" fillId="10" borderId="18" xfId="53" applyFont="1" applyFill="1" applyBorder="1" applyAlignment="1">
      <alignment horizontal="justify" vertical="center" wrapText="1"/>
    </xf>
    <xf numFmtId="164" fontId="4" fillId="0" borderId="0" xfId="0" applyNumberFormat="1" applyFont="1" applyProtection="1">
      <protection hidden="1"/>
    </xf>
    <xf numFmtId="164" fontId="67" fillId="10" borderId="18" xfId="7" applyFont="1" applyFill="1" applyBorder="1" applyAlignment="1" applyProtection="1">
      <alignment horizontal="center" vertical="center"/>
    </xf>
    <xf numFmtId="0" fontId="21" fillId="10" borderId="58" xfId="0" applyFont="1" applyFill="1" applyBorder="1" applyAlignment="1">
      <alignment horizontal="center" vertical="center"/>
    </xf>
    <xf numFmtId="0" fontId="7" fillId="5" borderId="54" xfId="0" applyFont="1" applyFill="1" applyBorder="1" applyAlignment="1">
      <alignment horizontal="center" vertical="top" wrapText="1"/>
    </xf>
    <xf numFmtId="0" fontId="60" fillId="0" borderId="0" xfId="39" applyFont="1" applyAlignment="1">
      <alignment horizontal="center" vertical="center" wrapText="1"/>
    </xf>
    <xf numFmtId="0" fontId="50" fillId="0" borderId="0" xfId="39" applyFont="1" applyAlignment="1">
      <alignment horizontal="center" vertical="center" wrapText="1"/>
    </xf>
    <xf numFmtId="0" fontId="50" fillId="5" borderId="0" xfId="39" applyFont="1" applyFill="1" applyAlignment="1">
      <alignment horizontal="center" vertical="center" wrapText="1"/>
    </xf>
    <xf numFmtId="0" fontId="36" fillId="3" borderId="0" xfId="37" applyFont="1" applyFill="1" applyAlignment="1">
      <alignment horizontal="center" vertical="center"/>
    </xf>
    <xf numFmtId="0" fontId="9" fillId="0" borderId="0" xfId="40" applyAlignment="1" applyProtection="1">
      <alignment horizontal="left" vertical="center" wrapText="1"/>
      <protection hidden="1"/>
    </xf>
    <xf numFmtId="0" fontId="9" fillId="0" borderId="0" xfId="0" applyFont="1" applyAlignment="1" applyProtection="1">
      <alignment horizontal="center" vertical="center"/>
      <protection hidden="1"/>
    </xf>
    <xf numFmtId="0" fontId="8"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0" fillId="0" borderId="0" xfId="0" applyFont="1" applyAlignment="1" applyProtection="1">
      <alignment horizontal="justify" vertical="center" wrapText="1"/>
      <protection hidden="1"/>
    </xf>
    <xf numFmtId="0" fontId="10" fillId="0" borderId="0" xfId="40" applyFont="1" applyAlignment="1" applyProtection="1">
      <alignment horizontal="left" vertical="center" wrapText="1"/>
      <protection hidden="1"/>
    </xf>
    <xf numFmtId="0" fontId="5" fillId="0" borderId="0" xfId="25" applyFont="1" applyAlignment="1" applyProtection="1">
      <alignment horizontal="center" vertical="top"/>
      <protection hidden="1"/>
    </xf>
    <xf numFmtId="0" fontId="6" fillId="0" borderId="0" xfId="25" applyFont="1" applyAlignment="1" applyProtection="1">
      <alignment horizontal="center" vertical="top"/>
      <protection hidden="1"/>
    </xf>
    <xf numFmtId="0" fontId="8" fillId="0" borderId="0" xfId="25" applyFont="1" applyAlignment="1" applyProtection="1">
      <alignment horizontal="center" vertical="top"/>
      <protection hidden="1"/>
    </xf>
    <xf numFmtId="0" fontId="5" fillId="4" borderId="0" xfId="25" applyFont="1" applyFill="1" applyAlignment="1" applyProtection="1">
      <alignment horizontal="center" vertical="top"/>
      <protection hidden="1"/>
    </xf>
    <xf numFmtId="0" fontId="6" fillId="0" borderId="0" xfId="25" applyFont="1" applyAlignment="1" applyProtection="1">
      <alignment horizontal="center" vertical="top" wrapText="1"/>
      <protection hidden="1"/>
    </xf>
    <xf numFmtId="0" fontId="6" fillId="0" borderId="0" xfId="25" applyFont="1" applyAlignment="1" applyProtection="1">
      <alignment horizontal="justify" vertical="top" wrapText="1"/>
      <protection hidden="1"/>
    </xf>
    <xf numFmtId="0" fontId="8" fillId="0" borderId="0" xfId="25" applyFont="1" applyAlignment="1" applyProtection="1">
      <alignment horizontal="justify"/>
      <protection hidden="1"/>
    </xf>
    <xf numFmtId="0" fontId="6" fillId="0" borderId="19" xfId="25" applyFont="1" applyBorder="1" applyAlignment="1" applyProtection="1">
      <alignment horizontal="justify" vertical="top" wrapText="1"/>
      <protection hidden="1"/>
    </xf>
    <xf numFmtId="0" fontId="6" fillId="0" borderId="19" xfId="25" applyFont="1" applyBorder="1" applyAlignment="1" applyProtection="1">
      <alignment horizontal="left" vertical="top" wrapText="1" indent="5"/>
      <protection hidden="1"/>
    </xf>
    <xf numFmtId="0" fontId="6" fillId="0" borderId="0" xfId="25" applyFont="1" applyAlignment="1" applyProtection="1">
      <alignment horizontal="left" vertical="top" wrapText="1" indent="5"/>
      <protection hidden="1"/>
    </xf>
    <xf numFmtId="0" fontId="6" fillId="0" borderId="0" xfId="25" applyFont="1" applyAlignment="1" applyProtection="1">
      <alignment horizontal="justify" vertical="top"/>
      <protection hidden="1"/>
    </xf>
    <xf numFmtId="0" fontId="6" fillId="0" borderId="0" xfId="25" applyFont="1" applyAlignment="1" applyProtection="1">
      <alignment horizontal="justify"/>
      <protection hidden="1"/>
    </xf>
    <xf numFmtId="0" fontId="9" fillId="0" borderId="0" xfId="25" applyFont="1" applyAlignment="1" applyProtection="1">
      <alignment horizontal="justify" vertical="top" wrapText="1"/>
      <protection hidden="1"/>
    </xf>
    <xf numFmtId="0" fontId="9" fillId="0" borderId="0" xfId="25" applyFont="1" applyAlignment="1" applyProtection="1">
      <alignment horizontal="justify" vertical="top"/>
      <protection hidden="1"/>
    </xf>
    <xf numFmtId="0" fontId="6" fillId="0" borderId="0" xfId="25" applyFont="1" applyAlignment="1" applyProtection="1">
      <alignment horizontal="left" vertical="top"/>
      <protection hidden="1"/>
    </xf>
    <xf numFmtId="0" fontId="6" fillId="0" borderId="37" xfId="25" applyFont="1" applyBorder="1" applyAlignment="1" applyProtection="1">
      <alignment horizontal="justify" vertical="top" wrapText="1"/>
      <protection hidden="1"/>
    </xf>
    <xf numFmtId="0" fontId="6" fillId="0" borderId="26" xfId="25" applyFont="1" applyBorder="1" applyAlignment="1" applyProtection="1">
      <alignment horizontal="justify" vertical="top" wrapText="1"/>
      <protection hidden="1"/>
    </xf>
    <xf numFmtId="0" fontId="6" fillId="0" borderId="45" xfId="25" applyFont="1" applyBorder="1" applyAlignment="1" applyProtection="1">
      <alignment horizontal="justify" vertical="top" wrapText="1"/>
      <protection hidden="1"/>
    </xf>
    <xf numFmtId="0" fontId="6" fillId="0" borderId="46" xfId="25" applyFont="1" applyBorder="1" applyAlignment="1" applyProtection="1">
      <alignment horizontal="justify" vertical="top" wrapText="1"/>
      <protection hidden="1"/>
    </xf>
    <xf numFmtId="0" fontId="25" fillId="0" borderId="47" xfId="25" applyFont="1" applyBorder="1" applyAlignment="1" applyProtection="1">
      <alignment horizontal="center" vertical="center"/>
      <protection hidden="1"/>
    </xf>
    <xf numFmtId="0" fontId="25" fillId="0" borderId="48" xfId="25" applyFont="1" applyBorder="1" applyAlignment="1" applyProtection="1">
      <alignment horizontal="center" vertical="center"/>
      <protection hidden="1"/>
    </xf>
    <xf numFmtId="0" fontId="25" fillId="0" borderId="24" xfId="25" applyFont="1" applyBorder="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8" fillId="0" borderId="0" xfId="25" quotePrefix="1" applyFont="1" applyAlignment="1" applyProtection="1">
      <alignment horizontal="left" vertical="top" wrapText="1"/>
      <protection hidden="1"/>
    </xf>
    <xf numFmtId="2" fontId="21" fillId="2" borderId="49" xfId="38" applyNumberFormat="1" applyFont="1" applyFill="1" applyBorder="1" applyAlignment="1" applyProtection="1">
      <alignment horizontal="right" vertical="center"/>
      <protection hidden="1"/>
    </xf>
    <xf numFmtId="2" fontId="21" fillId="2" borderId="50" xfId="38" applyNumberFormat="1" applyFont="1" applyFill="1" applyBorder="1" applyAlignment="1" applyProtection="1">
      <alignment horizontal="right" vertical="center"/>
      <protection hidden="1"/>
    </xf>
    <xf numFmtId="0" fontId="12" fillId="0" borderId="51" xfId="38" applyFont="1" applyBorder="1" applyAlignment="1" applyProtection="1">
      <alignment horizontal="left" vertical="center"/>
      <protection hidden="1"/>
    </xf>
    <xf numFmtId="0" fontId="12" fillId="0" borderId="7" xfId="38" applyFont="1" applyBorder="1" applyAlignment="1" applyProtection="1">
      <alignment horizontal="left" vertical="center"/>
      <protection hidden="1"/>
    </xf>
    <xf numFmtId="0" fontId="12" fillId="0" borderId="9" xfId="38" applyFont="1" applyBorder="1" applyAlignment="1" applyProtection="1">
      <alignment horizontal="left" vertical="top" wrapText="1"/>
      <protection hidden="1"/>
    </xf>
    <xf numFmtId="0" fontId="12" fillId="0" borderId="0" xfId="38" applyFont="1" applyAlignment="1" applyProtection="1">
      <alignment horizontal="left" vertical="top" wrapText="1"/>
      <protection hidden="1"/>
    </xf>
    <xf numFmtId="0" fontId="12" fillId="0" borderId="10" xfId="38" applyFont="1" applyBorder="1" applyAlignment="1" applyProtection="1">
      <alignment horizontal="left" vertical="top" wrapText="1"/>
      <protection hidden="1"/>
    </xf>
    <xf numFmtId="164" fontId="12" fillId="2" borderId="49" xfId="16" applyFont="1" applyFill="1" applyBorder="1" applyAlignment="1" applyProtection="1">
      <alignment horizontal="right" vertical="center"/>
      <protection hidden="1"/>
    </xf>
    <xf numFmtId="164" fontId="12" fillId="2" borderId="50" xfId="16" applyFont="1" applyFill="1" applyBorder="1" applyAlignment="1" applyProtection="1">
      <alignment horizontal="right" vertical="center"/>
      <protection hidden="1"/>
    </xf>
    <xf numFmtId="0" fontId="28" fillId="0" borderId="16" xfId="28" applyFont="1" applyBorder="1" applyAlignment="1" applyProtection="1">
      <alignment horizontal="left" vertical="top" wrapText="1"/>
      <protection hidden="1"/>
    </xf>
    <xf numFmtId="0" fontId="30" fillId="0" borderId="49" xfId="28" applyBorder="1" applyAlignment="1" applyProtection="1">
      <alignment horizontal="left" vertical="top" wrapText="1"/>
      <protection hidden="1"/>
    </xf>
    <xf numFmtId="0" fontId="30" fillId="0" borderId="2" xfId="28" applyBorder="1" applyAlignment="1" applyProtection="1">
      <alignment horizontal="left" vertical="top" wrapText="1"/>
      <protection hidden="1"/>
    </xf>
    <xf numFmtId="0" fontId="30" fillId="0" borderId="50" xfId="28" applyBorder="1" applyAlignment="1" applyProtection="1">
      <alignment horizontal="left" vertical="top" wrapText="1"/>
      <protection hidden="1"/>
    </xf>
    <xf numFmtId="0" fontId="52" fillId="0" borderId="40" xfId="0" applyFont="1" applyBorder="1" applyAlignment="1">
      <alignment horizontal="center" vertical="center"/>
    </xf>
    <xf numFmtId="0" fontId="52" fillId="0" borderId="41"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8" fillId="0" borderId="18" xfId="0" applyFont="1" applyBorder="1" applyAlignment="1">
      <alignment horizontal="right" vertical="center"/>
    </xf>
    <xf numFmtId="0" fontId="56" fillId="0" borderId="18" xfId="0" applyFont="1" applyBorder="1" applyAlignment="1">
      <alignment horizontal="right" vertical="center"/>
    </xf>
    <xf numFmtId="0" fontId="44" fillId="0" borderId="18" xfId="0" applyFont="1" applyBorder="1" applyAlignment="1">
      <alignment horizontal="right" vertical="center"/>
    </xf>
    <xf numFmtId="0" fontId="44" fillId="7" borderId="18" xfId="0" applyFont="1" applyFill="1" applyBorder="1" applyAlignment="1">
      <alignment horizontal="right" vertical="center"/>
    </xf>
    <xf numFmtId="0" fontId="8" fillId="0" borderId="18" xfId="0" applyFont="1" applyBorder="1" applyAlignment="1">
      <alignment horizontal="right" vertical="center" wrapText="1"/>
    </xf>
    <xf numFmtId="0" fontId="44" fillId="0" borderId="0" xfId="0" applyFont="1" applyAlignment="1">
      <alignment horizontal="center" vertical="center" wrapText="1"/>
    </xf>
    <xf numFmtId="0" fontId="51" fillId="0" borderId="19" xfId="0" applyFont="1" applyBorder="1" applyAlignment="1">
      <alignment horizontal="center"/>
    </xf>
    <xf numFmtId="0" fontId="45" fillId="5" borderId="40" xfId="0" applyFont="1" applyFill="1" applyBorder="1" applyAlignment="1">
      <alignment horizontal="center" vertical="center"/>
    </xf>
    <xf numFmtId="0" fontId="8" fillId="7" borderId="18" xfId="0" applyFont="1" applyFill="1" applyBorder="1" applyAlignment="1">
      <alignment horizontal="right" vertical="center"/>
    </xf>
    <xf numFmtId="0" fontId="4" fillId="0" borderId="0" xfId="0" applyFont="1" applyAlignment="1" applyProtection="1">
      <alignment vertical="center"/>
      <protection hidden="1"/>
    </xf>
    <xf numFmtId="0" fontId="34" fillId="0" borderId="14" xfId="0" applyFont="1" applyBorder="1" applyAlignment="1" applyProtection="1">
      <alignment horizontal="center" vertical="center" wrapText="1"/>
      <protection hidden="1"/>
    </xf>
    <xf numFmtId="0" fontId="9" fillId="0" borderId="0" xfId="0" applyFont="1" applyAlignment="1" applyProtection="1">
      <alignment vertical="center"/>
      <protection hidden="1"/>
    </xf>
    <xf numFmtId="0" fontId="34" fillId="0" borderId="18" xfId="0" applyFont="1" applyBorder="1" applyAlignment="1" applyProtection="1">
      <alignment horizontal="justify" vertical="center" wrapText="1"/>
      <protection hidden="1"/>
    </xf>
    <xf numFmtId="0" fontId="4" fillId="0" borderId="18" xfId="0" applyFont="1" applyBorder="1" applyAlignment="1" applyProtection="1">
      <alignment horizontal="justify" vertical="center" wrapText="1"/>
      <protection hidden="1"/>
    </xf>
    <xf numFmtId="0" fontId="34" fillId="0" borderId="38" xfId="0" applyFont="1" applyBorder="1" applyAlignment="1" applyProtection="1">
      <alignment horizontal="left" vertical="center" wrapText="1"/>
      <protection hidden="1"/>
    </xf>
    <xf numFmtId="0" fontId="34" fillId="0" borderId="11" xfId="0" applyFont="1" applyBorder="1" applyAlignment="1" applyProtection="1">
      <alignment horizontal="left" vertical="center" wrapText="1"/>
      <protection hidden="1"/>
    </xf>
    <xf numFmtId="0" fontId="8" fillId="0" borderId="18" xfId="0" applyFont="1" applyBorder="1" applyAlignment="1" applyProtection="1">
      <alignment horizontal="left" vertical="center" wrapText="1"/>
      <protection hidden="1"/>
    </xf>
    <xf numFmtId="0" fontId="6" fillId="0" borderId="38" xfId="0" applyFont="1" applyBorder="1" applyAlignment="1" applyProtection="1">
      <alignment horizontal="left" vertical="center" wrapText="1"/>
      <protection hidden="1"/>
    </xf>
    <xf numFmtId="0" fontId="6" fillId="0" borderId="11" xfId="0" applyFont="1" applyBorder="1" applyAlignment="1" applyProtection="1">
      <alignment horizontal="left" vertical="center" wrapText="1"/>
      <protection hidden="1"/>
    </xf>
    <xf numFmtId="0" fontId="4" fillId="0" borderId="38"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8" fillId="0" borderId="38" xfId="0" applyFont="1" applyBorder="1" applyAlignment="1" applyProtection="1">
      <alignment horizontal="left" vertical="center" wrapText="1"/>
      <protection hidden="1"/>
    </xf>
    <xf numFmtId="0" fontId="8" fillId="0" borderId="11" xfId="0" applyFont="1" applyBorder="1" applyAlignment="1" applyProtection="1">
      <alignment horizontal="left" vertical="center" wrapText="1"/>
      <protection hidden="1"/>
    </xf>
    <xf numFmtId="0" fontId="9" fillId="0" borderId="0" xfId="35" applyFont="1" applyAlignment="1" applyProtection="1">
      <alignment horizontal="justify" vertical="center"/>
      <protection hidden="1"/>
    </xf>
    <xf numFmtId="0" fontId="10" fillId="0" borderId="0" xfId="35" applyFont="1" applyAlignment="1" applyProtection="1">
      <alignment horizontal="center" vertical="center"/>
      <protection hidden="1"/>
    </xf>
    <xf numFmtId="0" fontId="9" fillId="2" borderId="0" xfId="35" applyFont="1" applyFill="1" applyAlignment="1" applyProtection="1">
      <alignment horizontal="left" vertical="center"/>
      <protection locked="0"/>
    </xf>
    <xf numFmtId="173" fontId="9" fillId="6" borderId="0" xfId="35" applyNumberFormat="1" applyFont="1" applyFill="1" applyAlignment="1" applyProtection="1">
      <alignment horizontal="left" vertical="center"/>
      <protection locked="0"/>
    </xf>
    <xf numFmtId="0" fontId="10" fillId="0" borderId="0" xfId="35" applyFont="1" applyAlignment="1" applyProtection="1">
      <alignment horizontal="justify" vertical="top"/>
      <protection hidden="1"/>
    </xf>
    <xf numFmtId="0" fontId="9" fillId="0" borderId="0" xfId="35" applyFont="1" applyAlignment="1" applyProtection="1">
      <alignment horizontal="justify" vertical="top"/>
      <protection hidden="1"/>
    </xf>
    <xf numFmtId="0" fontId="9" fillId="0" borderId="0" xfId="35" applyFont="1" applyAlignment="1" applyProtection="1">
      <alignment horizontal="center" vertical="top"/>
      <protection hidden="1"/>
    </xf>
    <xf numFmtId="0" fontId="10" fillId="0" borderId="0" xfId="35" applyFont="1" applyAlignment="1" applyProtection="1">
      <alignment horizontal="justify" vertical="center"/>
      <protection hidden="1"/>
    </xf>
    <xf numFmtId="0" fontId="9" fillId="0" borderId="0" xfId="35" applyFont="1" applyAlignment="1" applyProtection="1">
      <alignment horizontal="left" vertical="top" wrapText="1"/>
      <protection hidden="1"/>
    </xf>
    <xf numFmtId="173" fontId="10" fillId="0" borderId="0" xfId="35" applyNumberFormat="1" applyFont="1" applyAlignment="1" applyProtection="1">
      <alignment horizontal="left" vertical="center" indent="1"/>
      <protection hidden="1"/>
    </xf>
    <xf numFmtId="0" fontId="9" fillId="0" borderId="52" xfId="33" applyBorder="1" applyAlignment="1" applyProtection="1">
      <alignment horizontal="left" vertical="center" indent="2"/>
      <protection hidden="1"/>
    </xf>
    <xf numFmtId="0" fontId="9" fillId="2" borderId="37" xfId="33" applyFill="1" applyBorder="1" applyAlignment="1" applyProtection="1">
      <alignment horizontal="left" vertical="center"/>
      <protection locked="0"/>
    </xf>
    <xf numFmtId="0" fontId="9" fillId="0" borderId="0" xfId="33" applyAlignment="1" applyProtection="1">
      <alignment horizontal="left" vertical="center" indent="2"/>
      <protection hidden="1"/>
    </xf>
    <xf numFmtId="0" fontId="5" fillId="0" borderId="0" xfId="35" quotePrefix="1" applyFont="1" applyAlignment="1" applyProtection="1">
      <alignment horizontal="center" vertical="center"/>
      <protection hidden="1"/>
    </xf>
    <xf numFmtId="0" fontId="9" fillId="0" borderId="53" xfId="33" applyBorder="1" applyAlignment="1" applyProtection="1">
      <alignment horizontal="left" vertical="center" indent="2"/>
      <protection hidden="1"/>
    </xf>
    <xf numFmtId="0" fontId="9" fillId="0" borderId="37" xfId="33" applyBorder="1" applyAlignment="1" applyProtection="1">
      <alignment horizontal="left" vertical="center" indent="2"/>
      <protection hidden="1"/>
    </xf>
    <xf numFmtId="0" fontId="9" fillId="0" borderId="52" xfId="33" applyBorder="1" applyAlignment="1" applyProtection="1">
      <alignment horizontal="justify" vertical="center" wrapText="1"/>
      <protection hidden="1"/>
    </xf>
  </cellXfs>
  <cellStyles count="64">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Comma 2 2 2" xfId="57" xr:uid="{A656D6DD-1DFA-444A-BA5E-ECF16332DC7B}"/>
    <cellStyle name="Comma 2 3" xfId="56" xr:uid="{41B61464-F966-411F-AC76-3C3C5D83A19A}"/>
    <cellStyle name="Comma 3" xfId="55" xr:uid="{34BF4E35-7080-4F0A-97E0-3D3C72793C8C}"/>
    <cellStyle name="Comma 4" xfId="60" xr:uid="{786D75CB-6F6E-4143-B999-2DA4CDB30725}"/>
    <cellStyle name="Comma 5" xfId="54" xr:uid="{7BE61EB8-B9E1-46A2-B7B9-39D7A0D68D3A}"/>
    <cellStyle name="Comma 6" xfId="59" xr:uid="{B8E8D858-77D8-482B-B2FC-BB8C68F68A7D}"/>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100" xfId="53" xr:uid="{23CC9A11-5C5C-41DC-B2D4-4C2BB7191903}"/>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 2 3 2 2" xfId="63" xr:uid="{1D00B7B7-5474-4978-9829-AEB74DDB7037}"/>
    <cellStyle name="Normal 2 2 3 3" xfId="61" xr:uid="{6FBAEC60-8E00-4A77-9125-B85BC868654D}"/>
    <cellStyle name="Normal 2 3" xfId="52" xr:uid="{5D96910C-A993-4112-A86C-304DE54D28BD}"/>
    <cellStyle name="Normal 2 4" xfId="58" xr:uid="{01FB1C15-D923-409F-835E-EBF4F286D2AC}"/>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 7 2" xfId="62" xr:uid="{0E7CBE4E-FF86-4FC2-B8B6-B5BA59E01BAE}"/>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tabSelected="1" view="pageBreakPreview" zoomScaleNormal="100" zoomScaleSheetLayoutView="100" workbookViewId="0">
      <selection activeCell="C5" sqref="C5"/>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81.75" customHeight="1">
      <c r="A1" s="365" t="s">
        <v>0</v>
      </c>
      <c r="B1" s="366"/>
      <c r="C1" s="366"/>
      <c r="D1" s="124"/>
    </row>
    <row r="2" spans="1:4" ht="45" customHeight="1">
      <c r="A2" s="367" t="s">
        <v>992</v>
      </c>
      <c r="B2" s="367"/>
      <c r="C2" s="367"/>
      <c r="D2" s="123"/>
    </row>
    <row r="3" spans="1:4" ht="20.25" customHeight="1">
      <c r="A3" s="368" t="s">
        <v>1</v>
      </c>
      <c r="B3" s="368"/>
      <c r="C3" s="368"/>
    </row>
    <row r="4" spans="1:4" ht="17.25" thickBot="1">
      <c r="A4" s="85"/>
      <c r="B4" s="85"/>
      <c r="C4" s="86"/>
    </row>
    <row r="5" spans="1:4" ht="32.25" customHeight="1">
      <c r="A5" s="87" t="s">
        <v>2</v>
      </c>
      <c r="B5" s="88"/>
      <c r="C5" s="113" t="s">
        <v>3</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4</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5</v>
      </c>
      <c r="B14" s="106"/>
      <c r="C14" s="116"/>
      <c r="D14" s="84" t="b">
        <f>ISBLANK(C14)</f>
        <v>1</v>
      </c>
    </row>
    <row r="15" spans="1:4">
      <c r="A15" s="105" t="s">
        <v>6</v>
      </c>
      <c r="B15" s="152" t="s">
        <v>7</v>
      </c>
      <c r="C15" s="115"/>
      <c r="D15" s="84" t="b">
        <f>ISBLANK(C15)</f>
        <v>1</v>
      </c>
    </row>
    <row r="16" spans="1:4">
      <c r="A16" s="103"/>
      <c r="B16" s="86"/>
      <c r="C16" s="104"/>
    </row>
    <row r="17" spans="1:5">
      <c r="A17" s="105" t="s">
        <v>8</v>
      </c>
      <c r="B17" s="106"/>
      <c r="C17" s="116"/>
      <c r="D17" s="84" t="b">
        <f>ISBLANK(C17)</f>
        <v>1</v>
      </c>
    </row>
    <row r="18" spans="1:5">
      <c r="A18" s="105" t="s">
        <v>9</v>
      </c>
      <c r="B18" s="106"/>
      <c r="C18" s="117"/>
      <c r="D18" s="84" t="b">
        <f>ISBLANK(C18)</f>
        <v>1</v>
      </c>
    </row>
    <row r="19" spans="1:5">
      <c r="A19" s="107"/>
      <c r="B19" s="108"/>
      <c r="C19" s="109"/>
    </row>
    <row r="20" spans="1:5">
      <c r="A20" s="105" t="s">
        <v>10</v>
      </c>
      <c r="B20" s="106"/>
      <c r="C20" s="122"/>
      <c r="D20" s="84" t="b">
        <f>ISBLANK(C20)</f>
        <v>1</v>
      </c>
    </row>
    <row r="21" spans="1:5" ht="22.5" customHeight="1" thickBot="1">
      <c r="A21" s="110" t="s">
        <v>11</v>
      </c>
      <c r="B21" s="111"/>
      <c r="C21" s="118"/>
      <c r="D21" s="84" t="b">
        <f>ISBLANK(C21)</f>
        <v>1</v>
      </c>
      <c r="E21" s="154" t="str">
        <f>IF(COUNTIF(D9:D21,"TRUE"),"False","Sheet OK")</f>
        <v>False</v>
      </c>
    </row>
    <row r="22" spans="1:5" ht="36.75" customHeight="1">
      <c r="C22" s="129" t="str">
        <f>IF(E21="False","ENTER DETAILS","Sheet OK")</f>
        <v>ENTER DETAILS</v>
      </c>
      <c r="D22" s="129"/>
      <c r="E22" s="129"/>
    </row>
  </sheetData>
  <sheetProtection algorithmName="SHA-512" hashValue="bfhHGsB5Z1xX9fqlsbBHuqh+RKjOMVRd2xCbE685kbMDqsSH2fvt0trbT5XBDAih6KYOfX30WLq+yjpXKn0WTQ==" saltValue="j1fpXjN6egR0aOZoOcpj6A==" spinCount="100000" sheet="1" objects="1" scenarios="1" formatColumns="0" formatRows="0" selectLockedCells="1"/>
  <customSheetViews>
    <customSheetView guid="{FAE469C4-CC0E-407B-871F-7B3C94956CEC}" showPageBreaks="1" printArea="1" hiddenRows="1" view="pageBreakPreview">
      <selection activeCell="C24" sqref="C24"/>
      <pageMargins left="0" right="0" top="0" bottom="0" header="0" footer="0"/>
      <pageSetup scale="105" orientation="portrait" r:id="rId1"/>
      <headerFooter alignWithMargins="0"/>
    </customSheetView>
    <customSheetView guid="{A60C0BDD-7FB1-4EBA-A0E1-529280DA1A28}" hiddenRows="1" hiddenColumns="1" topLeftCell="B1">
      <selection activeCell="D11" sqref="D11"/>
      <pageMargins left="0" right="0" top="0" bottom="0" header="0" footer="0"/>
      <pageSetup scale="105" orientation="portrait" r:id="rId2"/>
      <headerFooter alignWithMargins="0"/>
    </customSheetView>
    <customSheetView guid="{9CE94B9F-4902-4B08-AE4E-74E93D8E789E}" hiddenRows="1" hiddenColumns="1" topLeftCell="B45">
      <selection activeCell="D30" sqref="D30"/>
      <pageMargins left="0" right="0" top="0" bottom="0" header="0" footer="0"/>
      <pageSetup scale="105" orientation="portrait" r:id="rId3"/>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4"/>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6"/>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7"/>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8"/>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9"/>
      <headerFooter alignWithMargins="0"/>
    </customSheetView>
    <customSheetView guid="{DF819C10-7533-4A2E-B278-90B3B38A4AE6}" hiddenRows="1" hiddenColumns="1" topLeftCell="B18">
      <selection activeCell="D30" sqref="D30"/>
      <pageMargins left="0" right="0" top="0" bottom="0" header="0" footer="0"/>
      <pageSetup scale="105" orientation="portrait" r:id="rId10"/>
      <headerFooter alignWithMargins="0"/>
    </customSheetView>
    <customSheetView guid="{6F637C86-117D-4792-B5D4-37E20B1C50B5}" hiddenRows="1" hiddenColumns="1" topLeftCell="B1">
      <selection activeCell="D11" sqref="D11"/>
      <pageMargins left="0" right="0" top="0" bottom="0" header="0" footer="0"/>
      <pageSetup scale="105" orientation="portrait" r:id="rId11"/>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12"/>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13"/>
      <headerFooter alignWithMargins="0"/>
    </customSheetView>
    <customSheetView guid="{F3854C08-3477-4F6D-851C-40DFA3C6F6FE}" showPageBreaks="1" printArea="1" hiddenRows="1" hiddenColumns="1" view="pageBreakPreview">
      <selection activeCell="C5" sqref="C5"/>
      <pageMargins left="0" right="0" top="0" bottom="0" header="0" footer="0"/>
      <pageSetup scale="105" orientation="portrait" r:id="rId14"/>
      <headerFooter alignWithMargins="0"/>
    </customSheetView>
  </customSheetViews>
  <mergeCells count="3">
    <mergeCell ref="A1:C1"/>
    <mergeCell ref="A2:C2"/>
    <mergeCell ref="A3:C3"/>
  </mergeCells>
  <phoneticPr fontId="30" type="noConversion"/>
  <conditionalFormatting sqref="C7">
    <cfRule type="expression" dxfId="11" priority="15" stopIfTrue="1">
      <formula>$A$7="Total Nos. of  Partners in the JV [excluding the Lead Partner]"</formula>
    </cfRule>
  </conditionalFormatting>
  <conditionalFormatting sqref="C8">
    <cfRule type="expression" dxfId="10"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12</v>
      </c>
    </row>
    <row r="2" spans="1:9" ht="15.75">
      <c r="A2" s="75"/>
      <c r="B2" s="75"/>
      <c r="C2" s="75"/>
      <c r="D2" s="75"/>
      <c r="E2" s="75"/>
    </row>
    <row r="3" spans="1:9" ht="63.75" customHeight="1">
      <c r="A3" s="371" t="e">
        <f>#REF!</f>
        <v>#REF!</v>
      </c>
      <c r="B3" s="371"/>
      <c r="C3" s="371"/>
      <c r="D3" s="371"/>
      <c r="E3" s="371"/>
      <c r="F3" s="54"/>
      <c r="G3" s="54"/>
      <c r="H3" s="54"/>
    </row>
    <row r="4" spans="1:9" ht="20.100000000000001" customHeight="1">
      <c r="A4" s="72"/>
      <c r="H4" s="22"/>
      <c r="I4" s="23"/>
    </row>
    <row r="5" spans="1:9" ht="20.100000000000001" customHeight="1">
      <c r="A5" s="372" t="s">
        <v>13</v>
      </c>
      <c r="B5" s="372"/>
      <c r="C5" s="372"/>
      <c r="D5" s="372"/>
      <c r="E5" s="372"/>
      <c r="F5" s="24"/>
      <c r="H5" s="22"/>
      <c r="I5" s="23"/>
    </row>
    <row r="6" spans="1:9" ht="20.100000000000001" customHeight="1">
      <c r="A6" s="76"/>
      <c r="H6" s="22"/>
      <c r="I6" s="23"/>
    </row>
    <row r="7" spans="1:9" ht="20.100000000000001" customHeight="1">
      <c r="A7" s="63" t="s">
        <v>14</v>
      </c>
      <c r="E7" s="65" t="s">
        <v>14</v>
      </c>
      <c r="H7" s="22"/>
      <c r="I7" s="23"/>
    </row>
    <row r="8" spans="1:9" ht="36" customHeight="1">
      <c r="A8" s="373" t="e">
        <f>#REF!</f>
        <v>#REF!</v>
      </c>
      <c r="B8" s="373"/>
      <c r="C8" s="373"/>
      <c r="D8" s="373"/>
      <c r="E8" s="66" t="e">
        <f>#REF!</f>
        <v>#REF!</v>
      </c>
      <c r="H8" s="22"/>
      <c r="I8" s="23"/>
    </row>
    <row r="9" spans="1:9">
      <c r="A9" s="77" t="s">
        <v>15</v>
      </c>
      <c r="B9" s="374" t="e">
        <f>#REF!</f>
        <v>#REF!</v>
      </c>
      <c r="C9" s="374"/>
      <c r="D9" s="374"/>
      <c r="E9" s="66" t="e">
        <f>#REF!</f>
        <v>#REF!</v>
      </c>
      <c r="H9" s="22"/>
      <c r="I9" s="23"/>
    </row>
    <row r="10" spans="1:9">
      <c r="A10" s="77" t="s">
        <v>16</v>
      </c>
      <c r="B10" s="369" t="e">
        <f>#REF!</f>
        <v>#REF!</v>
      </c>
      <c r="C10" s="369"/>
      <c r="D10" s="369"/>
      <c r="E10" s="66" t="e">
        <f>#REF!</f>
        <v>#REF!</v>
      </c>
      <c r="H10" s="22"/>
      <c r="I10" s="23"/>
    </row>
    <row r="11" spans="1:9">
      <c r="B11" s="369" t="e">
        <f>#REF!</f>
        <v>#REF!</v>
      </c>
      <c r="C11" s="369"/>
      <c r="D11" s="369"/>
      <c r="E11" s="66" t="e">
        <f>#REF!</f>
        <v>#REF!</v>
      </c>
    </row>
    <row r="12" spans="1:9">
      <c r="A12" s="76"/>
      <c r="B12" s="369" t="e">
        <f>#REF!</f>
        <v>#REF!</v>
      </c>
      <c r="C12" s="369"/>
      <c r="D12" s="369"/>
      <c r="E12" s="78" t="e">
        <f>#REF!</f>
        <v>#REF!</v>
      </c>
    </row>
    <row r="13" spans="1:9" ht="20.100000000000001" customHeight="1">
      <c r="A13" s="76"/>
      <c r="B13" s="79"/>
      <c r="C13" s="79"/>
      <c r="D13" s="79"/>
      <c r="E13" s="62"/>
    </row>
    <row r="14" spans="1:9" ht="20.100000000000001" customHeight="1">
      <c r="A14" s="67" t="s">
        <v>17</v>
      </c>
    </row>
    <row r="15" spans="1:9" ht="20.100000000000001" customHeight="1">
      <c r="A15" s="76"/>
    </row>
    <row r="16" spans="1:9" ht="24.75" customHeight="1">
      <c r="A16" s="370" t="s">
        <v>18</v>
      </c>
      <c r="B16" s="370"/>
      <c r="C16" s="370"/>
      <c r="D16" s="370"/>
      <c r="E16" s="370"/>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19</v>
      </c>
      <c r="B24" s="81">
        <f>'Name of Bidder'!C20</f>
        <v>0</v>
      </c>
      <c r="C24" s="82"/>
      <c r="D24" s="69" t="s">
        <v>20</v>
      </c>
      <c r="E24" s="83">
        <f>'Name of Bidder'!C17</f>
        <v>0</v>
      </c>
    </row>
    <row r="25" spans="1:5" ht="33" customHeight="1">
      <c r="A25" s="68" t="s">
        <v>21</v>
      </c>
      <c r="B25" s="83">
        <f>'Name of Bidder'!C21</f>
        <v>0</v>
      </c>
      <c r="C25" s="82"/>
      <c r="D25" s="69" t="s">
        <v>22</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AE469C4-CC0E-407B-871F-7B3C94956CEC}"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4"/>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5"/>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6"/>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7"/>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10"/>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11"/>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12"/>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1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14"/>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3854C08-3477-4F6D-851C-40DFA3C6F6FE}"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6"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94" t="s">
        <v>23</v>
      </c>
      <c r="B1" s="395"/>
      <c r="C1" s="395"/>
      <c r="D1" s="395"/>
      <c r="E1" s="395"/>
      <c r="F1" s="395"/>
      <c r="G1" s="395"/>
      <c r="H1" s="395"/>
      <c r="I1" s="396"/>
    </row>
    <row r="2" spans="1:9" ht="31.5" customHeight="1">
      <c r="A2" s="18" t="s">
        <v>24</v>
      </c>
      <c r="B2" s="390" t="s">
        <v>25</v>
      </c>
      <c r="C2" s="390"/>
      <c r="D2" s="390"/>
      <c r="E2" s="390"/>
      <c r="F2" s="390"/>
      <c r="G2" s="390"/>
      <c r="H2" s="390"/>
      <c r="I2" s="391"/>
    </row>
    <row r="3" spans="1:9" ht="36" customHeight="1">
      <c r="A3" s="18" t="s">
        <v>26</v>
      </c>
      <c r="B3" s="390" t="s">
        <v>27</v>
      </c>
      <c r="C3" s="390"/>
      <c r="D3" s="390"/>
      <c r="E3" s="390"/>
      <c r="F3" s="390"/>
      <c r="G3" s="390"/>
      <c r="H3" s="390"/>
      <c r="I3" s="391"/>
    </row>
    <row r="4" spans="1:9" ht="36" customHeight="1">
      <c r="A4" s="18" t="s">
        <v>28</v>
      </c>
      <c r="B4" s="390" t="s">
        <v>29</v>
      </c>
      <c r="C4" s="390"/>
      <c r="D4" s="390"/>
      <c r="E4" s="390"/>
      <c r="F4" s="390"/>
      <c r="G4" s="390"/>
      <c r="H4" s="390"/>
      <c r="I4" s="391"/>
    </row>
    <row r="5" spans="1:9" ht="36" customHeight="1">
      <c r="A5" s="18" t="s">
        <v>30</v>
      </c>
      <c r="B5" s="390" t="s">
        <v>31</v>
      </c>
      <c r="C5" s="390"/>
      <c r="D5" s="390"/>
      <c r="E5" s="390"/>
      <c r="F5" s="390"/>
      <c r="G5" s="390"/>
      <c r="H5" s="390"/>
      <c r="I5" s="391"/>
    </row>
    <row r="6" spans="1:9" ht="19.5" customHeight="1">
      <c r="A6" s="19" t="s">
        <v>32</v>
      </c>
      <c r="B6" s="392" t="s">
        <v>33</v>
      </c>
      <c r="C6" s="392"/>
      <c r="D6" s="392"/>
      <c r="E6" s="392"/>
      <c r="F6" s="392"/>
      <c r="G6" s="392"/>
      <c r="H6" s="392"/>
      <c r="I6" s="393"/>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378" t="s">
        <v>34</v>
      </c>
      <c r="B35" s="378"/>
      <c r="C35" s="378"/>
      <c r="D35" s="378"/>
      <c r="E35" s="378"/>
      <c r="F35" s="378"/>
      <c r="G35" s="378"/>
      <c r="H35" s="378"/>
      <c r="I35" s="378"/>
      <c r="J35" s="1"/>
    </row>
    <row r="36" spans="1:16" ht="15.75">
      <c r="A36" s="376" t="s">
        <v>35</v>
      </c>
      <c r="B36" s="376"/>
      <c r="C36" s="376"/>
      <c r="D36" s="376"/>
      <c r="E36" s="376"/>
      <c r="F36" s="376"/>
      <c r="G36" s="376"/>
      <c r="H36" s="376"/>
      <c r="I36" s="376"/>
      <c r="J36" s="1"/>
      <c r="K36" s="58">
        <f>'Name of Bidder'!C14</f>
        <v>0</v>
      </c>
      <c r="O36" s="55" t="e">
        <f>'Name of Bidder'!#REF!</f>
        <v>#REF!</v>
      </c>
    </row>
    <row r="37" spans="1:16" ht="18.75">
      <c r="A37" s="375" t="s">
        <v>36</v>
      </c>
      <c r="B37" s="375"/>
      <c r="C37" s="375"/>
      <c r="D37" s="375"/>
      <c r="E37" s="375"/>
      <c r="F37" s="375"/>
      <c r="G37" s="375"/>
      <c r="H37" s="375"/>
      <c r="I37" s="375"/>
      <c r="J37" s="1"/>
      <c r="K37" s="58">
        <f>'Name of Bidder'!C15</f>
        <v>0</v>
      </c>
      <c r="O37" s="55" t="e">
        <f>'Name of Bidder'!#REF!</f>
        <v>#REF!</v>
      </c>
    </row>
    <row r="38" spans="1:16" ht="36" customHeight="1">
      <c r="A38" s="379" t="s">
        <v>37</v>
      </c>
      <c r="B38" s="379"/>
      <c r="C38" s="379"/>
      <c r="D38" s="379"/>
      <c r="E38" s="379"/>
      <c r="F38" s="379"/>
      <c r="G38" s="379"/>
      <c r="H38" s="379"/>
      <c r="I38" s="379"/>
      <c r="J38" s="1"/>
      <c r="K38" s="58" t="e">
        <f>'Name of Bidder'!#REF!</f>
        <v>#REF!</v>
      </c>
      <c r="O38" s="55" t="e">
        <f>'Name of Bidder'!#REF!</f>
        <v>#REF!</v>
      </c>
    </row>
    <row r="39" spans="1:16" ht="18.75">
      <c r="A39" s="375" t="s">
        <v>38</v>
      </c>
      <c r="B39" s="375"/>
      <c r="C39" s="375"/>
      <c r="D39" s="375"/>
      <c r="E39" s="375"/>
      <c r="F39" s="375"/>
      <c r="G39" s="375"/>
      <c r="H39" s="375"/>
      <c r="I39" s="375"/>
      <c r="J39" s="1"/>
      <c r="K39" s="58" t="e">
        <f>'Name of Bidder'!#REF!</f>
        <v>#REF!</v>
      </c>
      <c r="O39" s="55" t="e">
        <f>'Name of Bidder'!#REF!</f>
        <v>#REF!</v>
      </c>
    </row>
    <row r="40" spans="1:16" ht="15.75">
      <c r="A40" s="376" t="s">
        <v>39</v>
      </c>
      <c r="B40" s="376"/>
      <c r="C40" s="376"/>
      <c r="D40" s="376"/>
      <c r="E40" s="376"/>
      <c r="F40" s="376"/>
      <c r="G40" s="376"/>
      <c r="H40" s="376"/>
      <c r="I40" s="376"/>
      <c r="J40" s="1"/>
    </row>
    <row r="41" spans="1:16" ht="18.75" customHeight="1">
      <c r="A41" s="377">
        <f>'Name of Bidder'!C9</f>
        <v>0</v>
      </c>
      <c r="B41" s="377"/>
      <c r="C41" s="377"/>
      <c r="D41" s="377"/>
      <c r="E41" s="377"/>
      <c r="F41" s="377"/>
      <c r="G41" s="377"/>
      <c r="H41" s="377"/>
      <c r="I41" s="377"/>
      <c r="J41" s="1"/>
      <c r="K41" s="59" t="e">
        <f>'Name of Bidder'!#REF!</f>
        <v>#REF!</v>
      </c>
      <c r="M41" s="55" t="s">
        <v>40</v>
      </c>
      <c r="P41" s="55" t="s">
        <v>41</v>
      </c>
    </row>
    <row r="42" spans="1:16" ht="15.75" hidden="1">
      <c r="A42" s="376" t="e">
        <f>IF(#REF! = "Individual Firm", " ", " and ")</f>
        <v>#REF!</v>
      </c>
      <c r="B42" s="376"/>
      <c r="C42" s="376"/>
      <c r="D42" s="376"/>
      <c r="E42" s="376"/>
      <c r="F42" s="376"/>
      <c r="G42" s="376"/>
      <c r="H42" s="376"/>
      <c r="I42" s="376"/>
      <c r="J42" s="1"/>
    </row>
    <row r="43" spans="1:16" ht="15.75" hidden="1">
      <c r="A43" s="376" t="e">
        <f xml:space="preserve"> IF(#REF!= "Individual Firm", "",#REF!)</f>
        <v>#REF!</v>
      </c>
      <c r="B43" s="376"/>
      <c r="C43" s="376"/>
      <c r="D43" s="376"/>
      <c r="E43" s="376"/>
      <c r="F43" s="376"/>
      <c r="G43" s="376"/>
      <c r="H43" s="376"/>
      <c r="I43" s="376"/>
      <c r="J43" s="1"/>
    </row>
    <row r="44" spans="1:16" ht="39.950000000000003" hidden="1" customHeight="1">
      <c r="A44" s="379" t="e">
        <f>IF(#REF!= "Sole Bidder", "", "having its Registered Office at "&amp;IF(#REF!=1,#REF!&amp;" "&amp;#REF!&amp;" "&amp;#REF!,IF(#REF!=2,#REF!&amp;" &amp; "&amp;#REF!&amp;" "&amp;#REF!&amp;" and " &amp;#REF!&amp;" &amp; "&amp;#REF!&amp;" "&amp;#REF! &amp;IF(#REF!=2," respectively",""))))</f>
        <v>#REF!</v>
      </c>
      <c r="B44" s="379"/>
      <c r="C44" s="379"/>
      <c r="D44" s="379"/>
      <c r="E44" s="379"/>
      <c r="F44" s="379"/>
      <c r="G44" s="379"/>
      <c r="H44" s="379"/>
      <c r="I44" s="379"/>
      <c r="J44" s="1"/>
    </row>
    <row r="45" spans="1:16" ht="15.75">
      <c r="A45" s="376" t="s">
        <v>42</v>
      </c>
      <c r="B45" s="376"/>
      <c r="C45" s="376"/>
      <c r="D45" s="376"/>
      <c r="E45" s="376"/>
      <c r="F45" s="376"/>
      <c r="G45" s="376"/>
      <c r="H45" s="376"/>
      <c r="I45" s="376"/>
      <c r="J45" s="1"/>
    </row>
    <row r="46" spans="1:16" ht="18.75">
      <c r="A46" s="375" t="s">
        <v>43</v>
      </c>
      <c r="B46" s="375"/>
      <c r="C46" s="375"/>
      <c r="D46" s="375"/>
      <c r="E46" s="375"/>
      <c r="F46" s="375"/>
      <c r="G46" s="375"/>
      <c r="H46" s="375"/>
      <c r="I46" s="375"/>
      <c r="J46" s="1"/>
    </row>
    <row r="47" spans="1:16" ht="18.75">
      <c r="A47" s="375" t="s">
        <v>44</v>
      </c>
      <c r="B47" s="375"/>
      <c r="C47" s="375"/>
      <c r="D47" s="375"/>
      <c r="E47" s="375"/>
      <c r="F47" s="375"/>
      <c r="G47" s="375"/>
      <c r="H47" s="375"/>
      <c r="I47" s="375"/>
      <c r="J47" s="1"/>
    </row>
    <row r="48" spans="1:16" ht="69" customHeight="1">
      <c r="A48" s="387" t="e">
        <f>"POWERGRID intends to award, under laid-down organisational procedures, contract(s) for " &amp;#REF!</f>
        <v>#REF!</v>
      </c>
      <c r="B48" s="387"/>
      <c r="C48" s="387"/>
      <c r="D48" s="387"/>
      <c r="E48" s="387"/>
      <c r="F48" s="387"/>
      <c r="G48" s="387"/>
      <c r="H48" s="387"/>
      <c r="I48" s="387"/>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380" t="s">
        <v>45</v>
      </c>
      <c r="B51" s="380"/>
      <c r="C51" s="380"/>
      <c r="D51" s="380"/>
      <c r="E51" s="384" t="s">
        <v>45</v>
      </c>
      <c r="F51" s="384"/>
      <c r="G51" s="384"/>
      <c r="H51" s="384"/>
      <c r="I51" s="384"/>
      <c r="J51" s="1"/>
    </row>
    <row r="52" spans="1:10" ht="33" customHeight="1">
      <c r="A52" s="382" t="s">
        <v>46</v>
      </c>
      <c r="B52" s="382"/>
      <c r="C52" s="382"/>
      <c r="D52" s="382"/>
      <c r="E52" s="383" t="s">
        <v>47</v>
      </c>
      <c r="F52" s="383"/>
      <c r="G52" s="383"/>
      <c r="H52" s="383"/>
      <c r="I52" s="383"/>
      <c r="J52" s="1"/>
    </row>
    <row r="53" spans="1:10" ht="22.5" customHeight="1">
      <c r="A53" s="56" t="s">
        <v>13</v>
      </c>
      <c r="B53" s="5"/>
      <c r="C53" s="5"/>
      <c r="D53" s="5"/>
      <c r="E53" s="5"/>
      <c r="F53" s="5"/>
      <c r="G53" s="5"/>
      <c r="H53" s="5"/>
      <c r="I53" s="57" t="s">
        <v>48</v>
      </c>
      <c r="J53" s="1"/>
    </row>
    <row r="54" spans="1:10" ht="100.5" customHeight="1">
      <c r="A54" s="388" t="e">
        <f>#REF! &amp; " Package and Specification Number " &amp;#REF! &amp; " POWERGRID values full compliance with all relevant laws and regulations, and the principles of economical use of resources, and of fairness and transparency in its relations with its Bidders/ Contractors."</f>
        <v>#REF!</v>
      </c>
      <c r="B54" s="388"/>
      <c r="C54" s="388"/>
      <c r="D54" s="388"/>
      <c r="E54" s="388"/>
      <c r="F54" s="388"/>
      <c r="G54" s="388"/>
      <c r="H54" s="388"/>
      <c r="I54" s="388"/>
    </row>
    <row r="55" spans="1:10" ht="8.1" customHeight="1">
      <c r="A55" s="7"/>
      <c r="B55" s="8"/>
      <c r="C55" s="8"/>
      <c r="D55" s="8"/>
      <c r="E55" s="8"/>
      <c r="F55" s="8"/>
      <c r="G55" s="8"/>
      <c r="H55" s="8"/>
      <c r="I55" s="8"/>
    </row>
    <row r="56" spans="1:10" ht="35.25" customHeight="1">
      <c r="A56" s="385" t="s">
        <v>49</v>
      </c>
      <c r="B56" s="385"/>
      <c r="C56" s="385"/>
      <c r="D56" s="385"/>
      <c r="E56" s="385"/>
      <c r="F56" s="385"/>
      <c r="G56" s="385"/>
      <c r="H56" s="385"/>
      <c r="I56" s="385"/>
    </row>
    <row r="57" spans="1:10" ht="8.1" customHeight="1">
      <c r="A57" s="9"/>
      <c r="B57" s="8"/>
      <c r="C57" s="8"/>
      <c r="D57" s="8"/>
      <c r="E57" s="8"/>
      <c r="F57" s="8"/>
      <c r="G57" s="8"/>
      <c r="H57" s="8"/>
      <c r="I57" s="8"/>
    </row>
    <row r="58" spans="1:10" ht="15.75">
      <c r="A58" s="386" t="s">
        <v>50</v>
      </c>
      <c r="B58" s="386"/>
      <c r="C58" s="386"/>
      <c r="D58" s="386"/>
      <c r="E58" s="386"/>
      <c r="F58" s="386"/>
      <c r="G58" s="386"/>
      <c r="H58" s="386"/>
      <c r="I58" s="386"/>
    </row>
    <row r="59" spans="1:10" ht="8.1" customHeight="1">
      <c r="A59" s="9"/>
      <c r="B59" s="8"/>
      <c r="C59" s="8"/>
      <c r="D59" s="8"/>
      <c r="E59" s="8"/>
      <c r="F59" s="8"/>
      <c r="G59" s="8"/>
      <c r="H59" s="8"/>
      <c r="I59" s="8"/>
    </row>
    <row r="60" spans="1:10" ht="16.5">
      <c r="A60" s="381" t="s">
        <v>51</v>
      </c>
      <c r="B60" s="381"/>
      <c r="C60" s="381"/>
      <c r="D60" s="381"/>
      <c r="E60" s="381"/>
      <c r="F60" s="381"/>
      <c r="G60" s="381"/>
      <c r="H60" s="381"/>
      <c r="I60" s="381"/>
    </row>
    <row r="61" spans="1:10" ht="8.1" customHeight="1">
      <c r="A61" s="10"/>
      <c r="B61" s="8"/>
      <c r="C61" s="8"/>
      <c r="D61" s="8"/>
      <c r="E61" s="8"/>
      <c r="F61" s="8"/>
      <c r="G61" s="8"/>
      <c r="H61" s="8"/>
      <c r="I61" s="8"/>
    </row>
    <row r="62" spans="1:10" ht="37.5" customHeight="1">
      <c r="A62" s="11" t="s">
        <v>52</v>
      </c>
      <c r="B62" s="380" t="s">
        <v>53</v>
      </c>
      <c r="C62" s="380"/>
      <c r="D62" s="380"/>
      <c r="E62" s="380"/>
      <c r="F62" s="380"/>
      <c r="G62" s="380"/>
      <c r="H62" s="380"/>
      <c r="I62" s="380"/>
    </row>
    <row r="63" spans="1:10" ht="8.1" customHeight="1">
      <c r="A63" s="9"/>
      <c r="B63" s="8"/>
      <c r="C63" s="8"/>
      <c r="D63" s="8"/>
      <c r="E63" s="8"/>
      <c r="F63" s="8"/>
      <c r="G63" s="8"/>
      <c r="H63" s="8"/>
      <c r="I63" s="8"/>
    </row>
    <row r="64" spans="1:10" ht="79.5" customHeight="1">
      <c r="A64" s="8"/>
      <c r="B64" s="11" t="s">
        <v>54</v>
      </c>
      <c r="C64" s="380" t="s">
        <v>55</v>
      </c>
      <c r="D64" s="380"/>
      <c r="E64" s="380"/>
      <c r="F64" s="380"/>
      <c r="G64" s="380"/>
      <c r="H64" s="380"/>
      <c r="I64" s="380"/>
    </row>
    <row r="65" spans="1:10" ht="8.1" customHeight="1">
      <c r="A65" s="8"/>
      <c r="B65" s="11"/>
      <c r="C65" s="4"/>
      <c r="D65" s="4"/>
      <c r="E65" s="4"/>
      <c r="F65" s="4"/>
      <c r="G65" s="4"/>
      <c r="H65" s="4"/>
      <c r="I65" s="4"/>
    </row>
    <row r="66" spans="1:10" ht="109.5" customHeight="1">
      <c r="A66" s="8"/>
      <c r="B66" s="11" t="s">
        <v>56</v>
      </c>
      <c r="C66" s="380" t="s">
        <v>57</v>
      </c>
      <c r="D66" s="380"/>
      <c r="E66" s="380"/>
      <c r="F66" s="380"/>
      <c r="G66" s="380"/>
      <c r="H66" s="380"/>
      <c r="I66" s="380"/>
    </row>
    <row r="67" spans="1:10" ht="8.1" customHeight="1">
      <c r="A67" s="8"/>
      <c r="B67" s="11"/>
      <c r="C67" s="73"/>
      <c r="D67" s="4"/>
      <c r="E67" s="4"/>
      <c r="F67" s="4"/>
      <c r="G67" s="4"/>
      <c r="H67" s="4"/>
      <c r="I67" s="4"/>
    </row>
    <row r="68" spans="1:10" ht="50.25" customHeight="1">
      <c r="A68" s="8"/>
      <c r="B68" s="11" t="s">
        <v>58</v>
      </c>
      <c r="C68" s="380" t="s">
        <v>59</v>
      </c>
      <c r="D68" s="380"/>
      <c r="E68" s="380"/>
      <c r="F68" s="380"/>
      <c r="G68" s="380"/>
      <c r="H68" s="380"/>
      <c r="I68" s="380"/>
    </row>
    <row r="69" spans="1:10" ht="15.75">
      <c r="A69" s="9"/>
      <c r="B69" s="8"/>
      <c r="C69" s="8"/>
      <c r="D69" s="8"/>
      <c r="E69" s="8"/>
      <c r="F69" s="8"/>
      <c r="G69" s="8"/>
      <c r="H69" s="8"/>
      <c r="I69" s="8"/>
    </row>
    <row r="70" spans="1:10" ht="87" customHeight="1">
      <c r="A70" s="11" t="s">
        <v>60</v>
      </c>
      <c r="B70" s="380" t="s">
        <v>61</v>
      </c>
      <c r="C70" s="380"/>
      <c r="D70" s="380"/>
      <c r="E70" s="380"/>
      <c r="F70" s="380"/>
      <c r="G70" s="380"/>
      <c r="H70" s="380"/>
      <c r="I70" s="380"/>
    </row>
    <row r="71" spans="1:10" ht="8.1" customHeight="1">
      <c r="A71" s="10"/>
      <c r="B71" s="8"/>
      <c r="C71" s="8"/>
      <c r="D71" s="8"/>
      <c r="E71" s="8"/>
      <c r="F71" s="8"/>
      <c r="G71" s="8"/>
      <c r="H71" s="8"/>
      <c r="I71" s="8"/>
    </row>
    <row r="72" spans="1:10" ht="16.5">
      <c r="A72" s="381" t="s">
        <v>62</v>
      </c>
      <c r="B72" s="381"/>
      <c r="C72" s="381"/>
      <c r="D72" s="381"/>
      <c r="E72" s="381"/>
      <c r="F72" s="381"/>
      <c r="G72" s="381"/>
      <c r="H72" s="381"/>
      <c r="I72" s="381"/>
    </row>
    <row r="73" spans="1:10" ht="16.5">
      <c r="A73" s="10"/>
      <c r="B73" s="8"/>
      <c r="C73" s="8"/>
      <c r="D73" s="8"/>
      <c r="E73" s="8"/>
      <c r="F73" s="8"/>
      <c r="G73" s="8"/>
      <c r="H73" s="8"/>
      <c r="I73" s="8"/>
    </row>
    <row r="74" spans="1:10" ht="49.5" customHeight="1">
      <c r="A74" s="11" t="s">
        <v>52</v>
      </c>
      <c r="B74" s="380" t="s">
        <v>63</v>
      </c>
      <c r="C74" s="380"/>
      <c r="D74" s="380"/>
      <c r="E74" s="380"/>
      <c r="F74" s="380"/>
      <c r="G74" s="380"/>
      <c r="H74" s="380"/>
      <c r="I74" s="380"/>
    </row>
    <row r="75" spans="1:10" ht="45" customHeight="1">
      <c r="A75" s="4"/>
      <c r="B75" s="5"/>
      <c r="C75" s="5"/>
      <c r="D75" s="5"/>
      <c r="E75" s="5"/>
      <c r="F75" s="4"/>
      <c r="G75" s="5"/>
      <c r="H75" s="5"/>
      <c r="I75" s="5"/>
      <c r="J75" s="1"/>
    </row>
    <row r="76" spans="1:10" ht="21" customHeight="1">
      <c r="A76" s="380" t="s">
        <v>45</v>
      </c>
      <c r="B76" s="380"/>
      <c r="C76" s="380"/>
      <c r="D76" s="380"/>
      <c r="E76" s="384" t="s">
        <v>45</v>
      </c>
      <c r="F76" s="384"/>
      <c r="G76" s="384"/>
      <c r="H76" s="384"/>
      <c r="I76" s="384"/>
      <c r="J76" s="1"/>
    </row>
    <row r="77" spans="1:10" ht="33" customHeight="1">
      <c r="A77" s="382" t="s">
        <v>46</v>
      </c>
      <c r="B77" s="382"/>
      <c r="C77" s="382"/>
      <c r="D77" s="382"/>
      <c r="E77" s="383" t="s">
        <v>47</v>
      </c>
      <c r="F77" s="383"/>
      <c r="G77" s="383"/>
      <c r="H77" s="383"/>
      <c r="I77" s="383"/>
      <c r="J77" s="1"/>
    </row>
    <row r="78" spans="1:10" ht="20.25" customHeight="1">
      <c r="A78" s="56" t="s">
        <v>13</v>
      </c>
      <c r="B78" s="5"/>
      <c r="C78" s="5"/>
      <c r="D78" s="5"/>
      <c r="E78" s="5"/>
      <c r="F78" s="5"/>
      <c r="G78" s="5"/>
      <c r="H78" s="5"/>
      <c r="I78" s="57" t="s">
        <v>64</v>
      </c>
      <c r="J78" s="1"/>
    </row>
    <row r="79" spans="1:10" ht="36" customHeight="1">
      <c r="A79" s="389" t="s">
        <v>65</v>
      </c>
      <c r="B79" s="389"/>
      <c r="C79" s="389"/>
      <c r="D79" s="389"/>
      <c r="E79" s="389"/>
      <c r="F79" s="389"/>
      <c r="G79" s="389"/>
      <c r="H79" s="389"/>
      <c r="I79" s="389"/>
      <c r="J79" s="1"/>
    </row>
    <row r="80" spans="1:10" ht="125.25" customHeight="1">
      <c r="A80" s="8"/>
      <c r="B80" s="11" t="s">
        <v>66</v>
      </c>
      <c r="C80" s="380" t="s">
        <v>67</v>
      </c>
      <c r="D80" s="380"/>
      <c r="E80" s="380"/>
      <c r="F80" s="380"/>
      <c r="G80" s="380"/>
      <c r="H80" s="380"/>
      <c r="I80" s="380"/>
    </row>
    <row r="81" spans="1:10" ht="9.9499999999999993" customHeight="1">
      <c r="A81" s="8"/>
      <c r="B81" s="12"/>
      <c r="C81" s="9"/>
      <c r="D81" s="9"/>
      <c r="E81" s="9"/>
      <c r="F81" s="9"/>
      <c r="G81" s="9"/>
      <c r="H81" s="9"/>
      <c r="I81" s="9"/>
    </row>
    <row r="82" spans="1:10" ht="112.5" customHeight="1">
      <c r="A82" s="8"/>
      <c r="B82" s="11" t="s">
        <v>56</v>
      </c>
      <c r="C82" s="380" t="s">
        <v>68</v>
      </c>
      <c r="D82" s="380"/>
      <c r="E82" s="380"/>
      <c r="F82" s="380"/>
      <c r="G82" s="380"/>
      <c r="H82" s="380"/>
      <c r="I82" s="380"/>
    </row>
    <row r="83" spans="1:10" ht="9.9499999999999993" customHeight="1">
      <c r="A83" s="8"/>
      <c r="B83" s="11"/>
      <c r="C83" s="13"/>
      <c r="D83" s="13"/>
      <c r="E83" s="13"/>
      <c r="F83" s="13"/>
      <c r="G83" s="13"/>
      <c r="H83" s="13"/>
      <c r="I83" s="13"/>
    </row>
    <row r="84" spans="1:10" ht="134.25" customHeight="1">
      <c r="A84" s="8"/>
      <c r="B84" s="11" t="s">
        <v>58</v>
      </c>
      <c r="C84" s="380" t="s">
        <v>69</v>
      </c>
      <c r="D84" s="380"/>
      <c r="E84" s="380"/>
      <c r="F84" s="380"/>
      <c r="G84" s="380"/>
      <c r="H84" s="380"/>
      <c r="I84" s="380"/>
    </row>
    <row r="85" spans="1:10" ht="9.9499999999999993" customHeight="1">
      <c r="A85" s="8"/>
      <c r="B85" s="11"/>
      <c r="C85" s="13"/>
      <c r="D85" s="13"/>
      <c r="E85" s="13"/>
      <c r="F85" s="13"/>
      <c r="G85" s="13"/>
      <c r="H85" s="13"/>
      <c r="I85" s="13"/>
    </row>
    <row r="86" spans="1:10" ht="94.5" customHeight="1">
      <c r="A86" s="8"/>
      <c r="B86" s="11" t="s">
        <v>70</v>
      </c>
      <c r="C86" s="380" t="s">
        <v>71</v>
      </c>
      <c r="D86" s="380"/>
      <c r="E86" s="380"/>
      <c r="F86" s="380"/>
      <c r="G86" s="380"/>
      <c r="H86" s="380"/>
      <c r="I86" s="380"/>
    </row>
    <row r="87" spans="1:10" ht="9.9499999999999993" customHeight="1">
      <c r="A87" s="8"/>
      <c r="B87" s="11"/>
      <c r="C87" s="13"/>
      <c r="D87" s="13"/>
      <c r="E87" s="13"/>
      <c r="F87" s="13"/>
      <c r="G87" s="13"/>
      <c r="H87" s="13"/>
      <c r="I87" s="13"/>
    </row>
    <row r="88" spans="1:10" ht="81.75" customHeight="1">
      <c r="A88" s="8"/>
      <c r="B88" s="11" t="s">
        <v>72</v>
      </c>
      <c r="C88" s="380" t="s">
        <v>73</v>
      </c>
      <c r="D88" s="380"/>
      <c r="E88" s="380"/>
      <c r="F88" s="380"/>
      <c r="G88" s="380"/>
      <c r="H88" s="380"/>
      <c r="I88" s="380"/>
    </row>
    <row r="89" spans="1:10" ht="9.9499999999999993" customHeight="1">
      <c r="A89" s="8"/>
      <c r="B89" s="11"/>
      <c r="C89" s="13"/>
      <c r="D89" s="13"/>
      <c r="E89" s="13"/>
      <c r="F89" s="13"/>
      <c r="G89" s="13"/>
      <c r="H89" s="13"/>
      <c r="I89" s="13"/>
    </row>
    <row r="90" spans="1:10" ht="72" customHeight="1">
      <c r="A90" s="8"/>
      <c r="B90" s="11" t="s">
        <v>74</v>
      </c>
      <c r="C90" s="380" t="s">
        <v>75</v>
      </c>
      <c r="D90" s="380"/>
      <c r="E90" s="380"/>
      <c r="F90" s="380"/>
      <c r="G90" s="380"/>
      <c r="H90" s="380"/>
      <c r="I90" s="380"/>
    </row>
    <row r="91" spans="1:10" ht="8.1" customHeight="1">
      <c r="A91" s="8"/>
      <c r="B91" s="13"/>
      <c r="C91" s="13"/>
      <c r="D91" s="13"/>
      <c r="E91" s="13"/>
      <c r="F91" s="13"/>
      <c r="G91" s="13"/>
      <c r="H91" s="13"/>
      <c r="I91" s="13"/>
    </row>
    <row r="92" spans="1:10" ht="53.25" customHeight="1">
      <c r="A92" s="11" t="s">
        <v>60</v>
      </c>
      <c r="B92" s="380" t="s">
        <v>76</v>
      </c>
      <c r="C92" s="380"/>
      <c r="D92" s="380"/>
      <c r="E92" s="380"/>
      <c r="F92" s="380"/>
      <c r="G92" s="380"/>
      <c r="H92" s="380"/>
      <c r="I92" s="380"/>
    </row>
    <row r="93" spans="1:10" ht="62.25" customHeight="1">
      <c r="A93" s="4"/>
      <c r="B93" s="5"/>
      <c r="C93" s="5"/>
      <c r="D93" s="5"/>
      <c r="E93" s="5"/>
      <c r="F93" s="4"/>
      <c r="G93" s="5"/>
      <c r="H93" s="5"/>
      <c r="I93" s="5"/>
      <c r="J93" s="1"/>
    </row>
    <row r="94" spans="1:10" ht="21" customHeight="1">
      <c r="A94" s="380" t="s">
        <v>45</v>
      </c>
      <c r="B94" s="380"/>
      <c r="C94" s="380"/>
      <c r="D94" s="380"/>
      <c r="E94" s="384" t="s">
        <v>45</v>
      </c>
      <c r="F94" s="384"/>
      <c r="G94" s="384"/>
      <c r="H94" s="384"/>
      <c r="I94" s="384"/>
      <c r="J94" s="1"/>
    </row>
    <row r="95" spans="1:10" ht="33" customHeight="1">
      <c r="A95" s="382" t="s">
        <v>46</v>
      </c>
      <c r="B95" s="382"/>
      <c r="C95" s="382"/>
      <c r="D95" s="382"/>
      <c r="E95" s="383" t="s">
        <v>47</v>
      </c>
      <c r="F95" s="383"/>
      <c r="G95" s="383"/>
      <c r="H95" s="383"/>
      <c r="I95" s="383"/>
      <c r="J95" s="1"/>
    </row>
    <row r="96" spans="1:10" ht="20.25" customHeight="1">
      <c r="A96" s="56" t="s">
        <v>13</v>
      </c>
      <c r="B96" s="5"/>
      <c r="C96" s="5"/>
      <c r="D96" s="5"/>
      <c r="E96" s="5"/>
      <c r="F96" s="5"/>
      <c r="G96" s="5"/>
      <c r="H96" s="5"/>
      <c r="I96" s="57" t="s">
        <v>77</v>
      </c>
      <c r="J96" s="1"/>
    </row>
    <row r="97" spans="1:10" ht="27.75" customHeight="1">
      <c r="A97" s="381" t="s">
        <v>78</v>
      </c>
      <c r="B97" s="381"/>
      <c r="C97" s="381"/>
      <c r="D97" s="381"/>
      <c r="E97" s="381"/>
      <c r="F97" s="381"/>
      <c r="G97" s="381"/>
      <c r="H97" s="381"/>
      <c r="I97" s="381"/>
    </row>
    <row r="98" spans="1:10" ht="21.75" customHeight="1">
      <c r="A98" s="9"/>
      <c r="B98" s="380"/>
      <c r="C98" s="380"/>
      <c r="D98" s="380"/>
      <c r="E98" s="380"/>
      <c r="F98" s="380"/>
      <c r="G98" s="380"/>
      <c r="H98" s="380"/>
      <c r="I98" s="380"/>
    </row>
    <row r="99" spans="1:10" ht="85.5" customHeight="1">
      <c r="A99" s="11" t="s">
        <v>52</v>
      </c>
      <c r="B99" s="380" t="s">
        <v>79</v>
      </c>
      <c r="C99" s="380"/>
      <c r="D99" s="380"/>
      <c r="E99" s="380"/>
      <c r="F99" s="380"/>
      <c r="G99" s="380"/>
      <c r="H99" s="380"/>
      <c r="I99" s="380"/>
    </row>
    <row r="100" spans="1:10" ht="15.75">
      <c r="A100" s="56"/>
      <c r="B100" s="5"/>
      <c r="C100" s="5"/>
      <c r="D100" s="5"/>
      <c r="E100" s="5"/>
      <c r="F100" s="5"/>
      <c r="G100" s="5"/>
      <c r="H100" s="5"/>
      <c r="I100" s="57"/>
      <c r="J100" s="1"/>
    </row>
    <row r="101" spans="1:10" ht="165.75" customHeight="1">
      <c r="A101" s="11" t="s">
        <v>60</v>
      </c>
      <c r="B101" s="380" t="s">
        <v>80</v>
      </c>
      <c r="C101" s="380"/>
      <c r="D101" s="380"/>
      <c r="E101" s="380"/>
      <c r="F101" s="380"/>
      <c r="G101" s="380"/>
      <c r="H101" s="380"/>
      <c r="I101" s="380"/>
    </row>
    <row r="102" spans="1:10" ht="18" customHeight="1">
      <c r="A102" s="11"/>
      <c r="B102" s="9"/>
      <c r="C102" s="9"/>
      <c r="D102" s="9"/>
      <c r="E102" s="9"/>
      <c r="F102" s="9"/>
      <c r="G102" s="9"/>
      <c r="H102" s="9"/>
      <c r="I102" s="9"/>
    </row>
    <row r="103" spans="1:10" ht="62.25" customHeight="1">
      <c r="A103" s="11" t="s">
        <v>81</v>
      </c>
      <c r="B103" s="380" t="s">
        <v>82</v>
      </c>
      <c r="C103" s="380"/>
      <c r="D103" s="380"/>
      <c r="E103" s="380"/>
      <c r="F103" s="380"/>
      <c r="G103" s="380"/>
      <c r="H103" s="380"/>
      <c r="I103" s="380"/>
    </row>
    <row r="104" spans="1:10" ht="15" customHeight="1">
      <c r="A104" s="9"/>
      <c r="B104" s="8"/>
      <c r="C104" s="8"/>
      <c r="D104" s="8"/>
      <c r="E104" s="8"/>
      <c r="F104" s="8"/>
      <c r="G104" s="8"/>
      <c r="H104" s="8"/>
      <c r="I104" s="8"/>
    </row>
    <row r="105" spans="1:10" ht="29.25" customHeight="1">
      <c r="A105" s="381" t="s">
        <v>83</v>
      </c>
      <c r="B105" s="381"/>
      <c r="C105" s="381"/>
      <c r="D105" s="381"/>
      <c r="E105" s="381"/>
      <c r="F105" s="381"/>
      <c r="G105" s="381"/>
      <c r="H105" s="381"/>
      <c r="I105" s="381"/>
    </row>
    <row r="106" spans="1:10" ht="29.25" customHeight="1">
      <c r="A106" s="10"/>
      <c r="B106" s="8"/>
      <c r="C106" s="8"/>
      <c r="D106" s="8"/>
      <c r="E106" s="8"/>
      <c r="F106" s="8"/>
      <c r="G106" s="8"/>
      <c r="H106" s="8"/>
      <c r="I106" s="8"/>
    </row>
    <row r="107" spans="1:10" ht="54.75" customHeight="1">
      <c r="A107" s="11" t="s">
        <v>52</v>
      </c>
      <c r="B107" s="385" t="s">
        <v>84</v>
      </c>
      <c r="C107" s="385"/>
      <c r="D107" s="385"/>
      <c r="E107" s="385"/>
      <c r="F107" s="385"/>
      <c r="G107" s="385"/>
      <c r="H107" s="385"/>
      <c r="I107" s="385"/>
    </row>
    <row r="108" spans="1:10" ht="15" customHeight="1">
      <c r="A108" s="11"/>
      <c r="B108" s="8"/>
      <c r="C108" s="8"/>
      <c r="D108" s="8"/>
      <c r="E108" s="8"/>
      <c r="F108" s="8"/>
      <c r="G108" s="8"/>
      <c r="H108" s="8"/>
      <c r="I108" s="8"/>
    </row>
    <row r="109" spans="1:10" ht="66.75" customHeight="1">
      <c r="A109" s="11" t="s">
        <v>60</v>
      </c>
      <c r="B109" s="385" t="s">
        <v>85</v>
      </c>
      <c r="C109" s="385"/>
      <c r="D109" s="385"/>
      <c r="E109" s="385"/>
      <c r="F109" s="385"/>
      <c r="G109" s="385"/>
      <c r="H109" s="385"/>
      <c r="I109" s="385"/>
    </row>
    <row r="110" spans="1:10" ht="15" customHeight="1">
      <c r="A110" s="9"/>
      <c r="B110" s="8"/>
      <c r="C110" s="8"/>
      <c r="D110" s="8"/>
      <c r="E110" s="8"/>
      <c r="F110" s="8"/>
      <c r="G110" s="8"/>
      <c r="H110" s="8"/>
      <c r="I110" s="8"/>
    </row>
    <row r="111" spans="1:10" ht="25.5" customHeight="1">
      <c r="A111" s="381" t="s">
        <v>86</v>
      </c>
      <c r="B111" s="381"/>
      <c r="C111" s="381"/>
      <c r="D111" s="381"/>
      <c r="E111" s="381"/>
      <c r="F111" s="381"/>
      <c r="G111" s="381"/>
      <c r="H111" s="381"/>
      <c r="I111" s="381"/>
    </row>
    <row r="112" spans="1:10" ht="22.5" customHeight="1">
      <c r="A112" s="10"/>
      <c r="B112" s="8"/>
      <c r="C112" s="8"/>
      <c r="D112" s="8"/>
      <c r="E112" s="8"/>
      <c r="F112" s="8"/>
      <c r="G112" s="8"/>
      <c r="H112" s="8"/>
      <c r="I112" s="8"/>
    </row>
    <row r="113" spans="1:10" ht="58.5" customHeight="1">
      <c r="A113" s="11" t="s">
        <v>52</v>
      </c>
      <c r="B113" s="385" t="s">
        <v>87</v>
      </c>
      <c r="C113" s="385"/>
      <c r="D113" s="385"/>
      <c r="E113" s="385"/>
      <c r="F113" s="385"/>
      <c r="G113" s="385"/>
      <c r="H113" s="385"/>
      <c r="I113" s="385"/>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380" t="s">
        <v>45</v>
      </c>
      <c r="B116" s="380"/>
      <c r="C116" s="380"/>
      <c r="D116" s="380"/>
      <c r="E116" s="384" t="s">
        <v>45</v>
      </c>
      <c r="F116" s="384"/>
      <c r="G116" s="384"/>
      <c r="H116" s="384"/>
      <c r="I116" s="384"/>
      <c r="J116" s="1"/>
    </row>
    <row r="117" spans="1:10" ht="33" customHeight="1">
      <c r="A117" s="382" t="s">
        <v>46</v>
      </c>
      <c r="B117" s="382"/>
      <c r="C117" s="382"/>
      <c r="D117" s="382"/>
      <c r="E117" s="383" t="s">
        <v>47</v>
      </c>
      <c r="F117" s="383"/>
      <c r="G117" s="383"/>
      <c r="H117" s="383"/>
      <c r="I117" s="383"/>
      <c r="J117" s="1"/>
    </row>
    <row r="118" spans="1:10" ht="19.5" customHeight="1">
      <c r="A118" s="56" t="s">
        <v>13</v>
      </c>
      <c r="B118" s="5"/>
      <c r="C118" s="5"/>
      <c r="D118" s="5"/>
      <c r="E118" s="5"/>
      <c r="F118" s="5"/>
      <c r="G118" s="5"/>
      <c r="H118" s="5"/>
      <c r="I118" s="57" t="s">
        <v>88</v>
      </c>
    </row>
    <row r="119" spans="1:10" ht="60.75" customHeight="1">
      <c r="A119" s="11" t="s">
        <v>60</v>
      </c>
      <c r="B119" s="385" t="s">
        <v>89</v>
      </c>
      <c r="C119" s="385"/>
      <c r="D119" s="385"/>
      <c r="E119" s="385"/>
      <c r="F119" s="385"/>
      <c r="G119" s="385"/>
      <c r="H119" s="385"/>
      <c r="I119" s="385"/>
    </row>
    <row r="120" spans="1:10" ht="15.95" customHeight="1">
      <c r="A120" s="9"/>
      <c r="B120" s="8"/>
      <c r="C120" s="8"/>
      <c r="D120" s="8"/>
      <c r="E120" s="8"/>
      <c r="F120" s="8"/>
      <c r="G120" s="8"/>
      <c r="H120" s="8"/>
      <c r="I120" s="8"/>
    </row>
    <row r="121" spans="1:10" ht="26.25" customHeight="1">
      <c r="A121" s="381" t="s">
        <v>90</v>
      </c>
      <c r="B121" s="381"/>
      <c r="C121" s="381"/>
      <c r="D121" s="381"/>
      <c r="E121" s="381"/>
      <c r="F121" s="381"/>
      <c r="G121" s="381"/>
      <c r="H121" s="381"/>
      <c r="I121" s="381"/>
    </row>
    <row r="122" spans="1:10" ht="24.75" customHeight="1">
      <c r="A122" s="9"/>
      <c r="B122" s="8"/>
      <c r="C122" s="8"/>
      <c r="D122" s="8"/>
      <c r="E122" s="8"/>
      <c r="F122" s="8"/>
      <c r="G122" s="8"/>
      <c r="H122" s="8"/>
      <c r="I122" s="8"/>
    </row>
    <row r="123" spans="1:10" ht="39.75" customHeight="1">
      <c r="A123" s="11" t="s">
        <v>52</v>
      </c>
      <c r="B123" s="385" t="s">
        <v>91</v>
      </c>
      <c r="C123" s="385"/>
      <c r="D123" s="385"/>
      <c r="E123" s="385"/>
      <c r="F123" s="385"/>
      <c r="G123" s="385"/>
      <c r="H123" s="385"/>
      <c r="I123" s="385"/>
    </row>
    <row r="124" spans="1:10" ht="25.5" customHeight="1">
      <c r="A124" s="8"/>
      <c r="B124" s="8"/>
      <c r="C124" s="8"/>
      <c r="D124" s="8"/>
      <c r="E124" s="8"/>
      <c r="F124" s="8"/>
      <c r="G124" s="8"/>
      <c r="H124" s="8"/>
      <c r="I124" s="8"/>
      <c r="J124" s="1"/>
    </row>
    <row r="125" spans="1:10" ht="43.5" customHeight="1">
      <c r="A125" s="11" t="s">
        <v>60</v>
      </c>
      <c r="B125" s="385" t="s">
        <v>92</v>
      </c>
      <c r="C125" s="385"/>
      <c r="D125" s="385"/>
      <c r="E125" s="385"/>
      <c r="F125" s="385"/>
      <c r="G125" s="385"/>
      <c r="H125" s="385"/>
      <c r="I125" s="385"/>
    </row>
    <row r="126" spans="1:10" ht="21.75" customHeight="1">
      <c r="A126" s="10"/>
      <c r="B126" s="8"/>
      <c r="C126" s="8"/>
      <c r="D126" s="8"/>
      <c r="E126" s="8"/>
      <c r="F126" s="8"/>
      <c r="G126" s="8"/>
      <c r="H126" s="8"/>
      <c r="I126" s="8"/>
    </row>
    <row r="127" spans="1:10" ht="25.5" customHeight="1">
      <c r="A127" s="381" t="s">
        <v>93</v>
      </c>
      <c r="B127" s="381"/>
      <c r="C127" s="381"/>
      <c r="D127" s="381"/>
      <c r="E127" s="381"/>
      <c r="F127" s="381"/>
      <c r="G127" s="381"/>
      <c r="H127" s="381"/>
      <c r="I127" s="381"/>
    </row>
    <row r="128" spans="1:10" ht="23.25" customHeight="1">
      <c r="A128" s="9"/>
      <c r="B128" s="8"/>
      <c r="C128" s="8"/>
      <c r="D128" s="8"/>
      <c r="E128" s="8"/>
      <c r="F128" s="8"/>
      <c r="G128" s="8"/>
      <c r="H128" s="8"/>
      <c r="I128" s="8"/>
    </row>
    <row r="129" spans="1:10" ht="88.5" customHeight="1">
      <c r="A129" s="385" t="s">
        <v>94</v>
      </c>
      <c r="B129" s="385"/>
      <c r="C129" s="385"/>
      <c r="D129" s="385"/>
      <c r="E129" s="385"/>
      <c r="F129" s="385"/>
      <c r="G129" s="385"/>
      <c r="H129" s="385"/>
      <c r="I129" s="385"/>
    </row>
    <row r="130" spans="1:10" ht="26.25" customHeight="1">
      <c r="A130" s="8"/>
      <c r="B130" s="8"/>
      <c r="C130" s="8"/>
      <c r="D130" s="8"/>
      <c r="E130" s="8"/>
      <c r="F130" s="8"/>
      <c r="G130" s="8"/>
      <c r="H130" s="8"/>
      <c r="I130" s="8"/>
    </row>
    <row r="131" spans="1:10" ht="21.75" customHeight="1">
      <c r="A131" s="381" t="s">
        <v>95</v>
      </c>
      <c r="B131" s="381"/>
      <c r="C131" s="381"/>
      <c r="D131" s="381"/>
      <c r="E131" s="381"/>
      <c r="F131" s="381"/>
      <c r="G131" s="381"/>
      <c r="H131" s="381"/>
      <c r="I131" s="381"/>
    </row>
    <row r="132" spans="1:10" ht="25.5" customHeight="1">
      <c r="A132" s="10"/>
      <c r="B132" s="8"/>
      <c r="C132" s="8"/>
      <c r="D132" s="8"/>
      <c r="E132" s="8"/>
      <c r="F132" s="8"/>
      <c r="G132" s="8"/>
      <c r="H132" s="8"/>
      <c r="I132" s="8"/>
    </row>
    <row r="133" spans="1:10" ht="69" customHeight="1">
      <c r="A133" s="11" t="s">
        <v>52</v>
      </c>
      <c r="B133" s="385" t="s">
        <v>96</v>
      </c>
      <c r="C133" s="385"/>
      <c r="D133" s="385"/>
      <c r="E133" s="385"/>
      <c r="F133" s="385"/>
      <c r="G133" s="385"/>
      <c r="H133" s="385"/>
      <c r="I133" s="385"/>
    </row>
    <row r="134" spans="1:10" ht="21" customHeight="1">
      <c r="A134" s="11"/>
      <c r="B134" s="385"/>
      <c r="C134" s="385"/>
      <c r="D134" s="385"/>
      <c r="E134" s="385"/>
      <c r="F134" s="385"/>
      <c r="G134" s="385"/>
      <c r="H134" s="385"/>
      <c r="I134" s="385"/>
    </row>
    <row r="135" spans="1:10" ht="191.25" customHeight="1">
      <c r="A135" s="11" t="s">
        <v>60</v>
      </c>
      <c r="B135" s="385" t="s">
        <v>97</v>
      </c>
      <c r="C135" s="385"/>
      <c r="D135" s="385"/>
      <c r="E135" s="385"/>
      <c r="F135" s="385"/>
      <c r="G135" s="385"/>
      <c r="H135" s="385"/>
      <c r="I135" s="385"/>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380" t="s">
        <v>45</v>
      </c>
      <c r="B138" s="380"/>
      <c r="C138" s="380"/>
      <c r="D138" s="380"/>
      <c r="E138" s="384" t="s">
        <v>45</v>
      </c>
      <c r="F138" s="384"/>
      <c r="G138" s="384"/>
      <c r="H138" s="384"/>
      <c r="I138" s="384"/>
      <c r="J138" s="1"/>
    </row>
    <row r="139" spans="1:10" ht="37.5" customHeight="1">
      <c r="A139" s="382" t="s">
        <v>46</v>
      </c>
      <c r="B139" s="382"/>
      <c r="C139" s="382"/>
      <c r="D139" s="382"/>
      <c r="E139" s="383" t="s">
        <v>47</v>
      </c>
      <c r="F139" s="383"/>
      <c r="G139" s="383"/>
      <c r="H139" s="383"/>
      <c r="I139" s="383"/>
      <c r="J139" s="1"/>
    </row>
    <row r="140" spans="1:10" ht="20.25" customHeight="1">
      <c r="A140" s="56" t="s">
        <v>13</v>
      </c>
      <c r="B140" s="5"/>
      <c r="C140" s="5"/>
      <c r="D140" s="5"/>
      <c r="E140" s="5"/>
      <c r="F140" s="5"/>
      <c r="G140" s="5"/>
      <c r="H140" s="5"/>
      <c r="I140" s="57" t="s">
        <v>98</v>
      </c>
      <c r="J140" s="1"/>
    </row>
    <row r="141" spans="1:10" ht="70.5" customHeight="1">
      <c r="A141" s="11" t="s">
        <v>81</v>
      </c>
      <c r="B141" s="385" t="s">
        <v>99</v>
      </c>
      <c r="C141" s="385"/>
      <c r="D141" s="385"/>
      <c r="E141" s="385"/>
      <c r="F141" s="385"/>
      <c r="G141" s="385"/>
      <c r="H141" s="385"/>
      <c r="I141" s="385"/>
    </row>
    <row r="142" spans="1:10" ht="31.5" customHeight="1">
      <c r="A142" s="11"/>
      <c r="B142" s="385"/>
      <c r="C142" s="385"/>
      <c r="D142" s="385"/>
      <c r="E142" s="385"/>
      <c r="F142" s="385"/>
      <c r="G142" s="385"/>
      <c r="H142" s="385"/>
      <c r="I142" s="385"/>
    </row>
    <row r="143" spans="1:10" ht="141.75" customHeight="1">
      <c r="A143" s="11" t="s">
        <v>100</v>
      </c>
      <c r="B143" s="385" t="s">
        <v>101</v>
      </c>
      <c r="C143" s="385"/>
      <c r="D143" s="385"/>
      <c r="E143" s="385"/>
      <c r="F143" s="385"/>
      <c r="G143" s="385"/>
      <c r="H143" s="385"/>
      <c r="I143" s="385"/>
    </row>
    <row r="144" spans="1:10" ht="22.5" customHeight="1">
      <c r="A144" s="9"/>
      <c r="B144" s="385"/>
      <c r="C144" s="385"/>
      <c r="D144" s="385"/>
      <c r="E144" s="385"/>
      <c r="F144" s="385"/>
      <c r="G144" s="385"/>
      <c r="H144" s="385"/>
      <c r="I144" s="385"/>
    </row>
    <row r="145" spans="1:10" ht="74.25" customHeight="1">
      <c r="A145" s="11" t="s">
        <v>102</v>
      </c>
      <c r="B145" s="385" t="s">
        <v>103</v>
      </c>
      <c r="C145" s="385"/>
      <c r="D145" s="385"/>
      <c r="E145" s="385"/>
      <c r="F145" s="385"/>
      <c r="G145" s="385"/>
      <c r="H145" s="385"/>
      <c r="I145" s="385"/>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104</v>
      </c>
      <c r="B148" s="385" t="s">
        <v>105</v>
      </c>
      <c r="C148" s="385"/>
      <c r="D148" s="385"/>
      <c r="E148" s="385"/>
      <c r="F148" s="385"/>
      <c r="G148" s="385"/>
      <c r="H148" s="385"/>
      <c r="I148" s="385"/>
    </row>
    <row r="149" spans="1:10" ht="15.95" customHeight="1">
      <c r="A149" s="11"/>
      <c r="B149" s="385"/>
      <c r="C149" s="385"/>
      <c r="D149" s="385"/>
      <c r="E149" s="385"/>
      <c r="F149" s="385"/>
      <c r="G149" s="385"/>
      <c r="H149" s="385"/>
      <c r="I149" s="385"/>
    </row>
    <row r="150" spans="1:10" ht="90" customHeight="1">
      <c r="A150" s="11" t="s">
        <v>106</v>
      </c>
      <c r="B150" s="385" t="s">
        <v>107</v>
      </c>
      <c r="C150" s="385"/>
      <c r="D150" s="385"/>
      <c r="E150" s="385"/>
      <c r="F150" s="385"/>
      <c r="G150" s="385"/>
      <c r="H150" s="385"/>
      <c r="I150" s="385"/>
    </row>
    <row r="151" spans="1:10" ht="15.95" customHeight="1">
      <c r="A151" s="11"/>
      <c r="B151" s="8"/>
      <c r="C151" s="8"/>
      <c r="D151" s="8"/>
      <c r="E151" s="8"/>
      <c r="F151" s="8"/>
      <c r="G151" s="8"/>
      <c r="H151" s="8"/>
      <c r="I151" s="8"/>
    </row>
    <row r="152" spans="1:10" ht="111.75" customHeight="1">
      <c r="A152" s="11" t="s">
        <v>108</v>
      </c>
      <c r="B152" s="385" t="s">
        <v>109</v>
      </c>
      <c r="C152" s="385"/>
      <c r="D152" s="385"/>
      <c r="E152" s="385"/>
      <c r="F152" s="385"/>
      <c r="G152" s="385"/>
      <c r="H152" s="385"/>
      <c r="I152" s="385"/>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380" t="s">
        <v>45</v>
      </c>
      <c r="B155" s="380"/>
      <c r="C155" s="380"/>
      <c r="D155" s="380"/>
      <c r="E155" s="384" t="s">
        <v>45</v>
      </c>
      <c r="F155" s="384"/>
      <c r="G155" s="384"/>
      <c r="H155" s="384"/>
      <c r="I155" s="384"/>
      <c r="J155" s="1"/>
    </row>
    <row r="156" spans="1:10" ht="33" customHeight="1">
      <c r="A156" s="382" t="s">
        <v>46</v>
      </c>
      <c r="B156" s="382"/>
      <c r="C156" s="382"/>
      <c r="D156" s="382"/>
      <c r="E156" s="383" t="s">
        <v>47</v>
      </c>
      <c r="F156" s="383"/>
      <c r="G156" s="383"/>
      <c r="H156" s="383"/>
      <c r="I156" s="383"/>
      <c r="J156" s="1"/>
    </row>
    <row r="157" spans="1:10" ht="27" customHeight="1">
      <c r="A157" s="56" t="s">
        <v>13</v>
      </c>
      <c r="B157" s="5"/>
      <c r="C157" s="5"/>
      <c r="D157" s="5"/>
      <c r="E157" s="5"/>
      <c r="F157" s="5"/>
      <c r="G157" s="5"/>
      <c r="H157" s="5"/>
      <c r="I157" s="57" t="s">
        <v>110</v>
      </c>
      <c r="J157" s="1"/>
    </row>
    <row r="158" spans="1:10" ht="21" customHeight="1">
      <c r="A158" s="11" t="s">
        <v>111</v>
      </c>
      <c r="B158" s="385" t="s">
        <v>112</v>
      </c>
      <c r="C158" s="385"/>
      <c r="D158" s="385"/>
      <c r="E158" s="385"/>
      <c r="F158" s="385"/>
      <c r="G158" s="385"/>
      <c r="H158" s="385"/>
      <c r="I158" s="385"/>
    </row>
    <row r="159" spans="1:10" ht="30" customHeight="1">
      <c r="A159" s="11"/>
      <c r="B159" s="8"/>
      <c r="C159" s="8"/>
      <c r="D159" s="8"/>
      <c r="E159" s="8"/>
      <c r="F159" s="8"/>
      <c r="G159" s="8"/>
      <c r="H159" s="8"/>
      <c r="I159" s="8"/>
    </row>
    <row r="160" spans="1:10" ht="74.25" customHeight="1">
      <c r="A160" s="11" t="s">
        <v>113</v>
      </c>
      <c r="B160" s="385" t="s">
        <v>114</v>
      </c>
      <c r="C160" s="385"/>
      <c r="D160" s="385"/>
      <c r="E160" s="385"/>
      <c r="F160" s="385"/>
      <c r="G160" s="385"/>
      <c r="H160" s="385"/>
      <c r="I160" s="385"/>
    </row>
    <row r="161" spans="1:10" ht="13.5" customHeight="1">
      <c r="A161" s="9"/>
      <c r="B161" s="8"/>
      <c r="C161" s="8"/>
      <c r="D161" s="8"/>
      <c r="E161" s="8"/>
      <c r="F161" s="8"/>
      <c r="G161" s="8"/>
      <c r="H161" s="8"/>
      <c r="I161" s="8"/>
    </row>
    <row r="162" spans="1:10" ht="16.5">
      <c r="A162" s="381" t="s">
        <v>115</v>
      </c>
      <c r="B162" s="381"/>
      <c r="C162" s="381"/>
      <c r="D162" s="381"/>
      <c r="E162" s="381"/>
      <c r="F162" s="381"/>
      <c r="G162" s="381"/>
      <c r="H162" s="381"/>
      <c r="I162" s="381"/>
    </row>
    <row r="163" spans="1:10" ht="30" customHeight="1">
      <c r="A163" s="9"/>
      <c r="B163" s="8"/>
      <c r="C163" s="8"/>
      <c r="D163" s="8"/>
      <c r="E163" s="8"/>
      <c r="F163" s="8"/>
      <c r="G163" s="8"/>
      <c r="H163" s="8"/>
      <c r="I163" s="8"/>
    </row>
    <row r="164" spans="1:10" ht="60" customHeight="1">
      <c r="A164" s="385" t="s">
        <v>116</v>
      </c>
      <c r="B164" s="385"/>
      <c r="C164" s="385"/>
      <c r="D164" s="385"/>
      <c r="E164" s="385"/>
      <c r="F164" s="385"/>
      <c r="G164" s="385"/>
      <c r="H164" s="385"/>
      <c r="I164" s="385"/>
    </row>
    <row r="165" spans="1:10" ht="11.25" customHeight="1">
      <c r="A165" s="10"/>
      <c r="B165" s="8"/>
      <c r="C165" s="8"/>
      <c r="D165" s="8"/>
      <c r="E165" s="8"/>
      <c r="F165" s="8"/>
      <c r="G165" s="8"/>
      <c r="H165" s="8"/>
      <c r="I165" s="8"/>
    </row>
    <row r="166" spans="1:10" ht="27.75" customHeight="1">
      <c r="A166" s="381" t="s">
        <v>117</v>
      </c>
      <c r="B166" s="381"/>
      <c r="C166" s="381"/>
      <c r="D166" s="381"/>
      <c r="E166" s="381"/>
      <c r="F166" s="381"/>
      <c r="G166" s="381"/>
      <c r="H166" s="381"/>
      <c r="I166" s="381"/>
    </row>
    <row r="167" spans="1:10" ht="12.75" customHeight="1">
      <c r="A167" s="9"/>
      <c r="B167" s="8"/>
      <c r="C167" s="8"/>
      <c r="D167" s="8"/>
      <c r="E167" s="8"/>
      <c r="F167" s="8"/>
      <c r="G167" s="8"/>
      <c r="H167" s="8"/>
      <c r="I167" s="8"/>
    </row>
    <row r="168" spans="1:10" ht="74.25" customHeight="1">
      <c r="A168" s="11" t="s">
        <v>52</v>
      </c>
      <c r="B168" s="385" t="s">
        <v>118</v>
      </c>
      <c r="C168" s="385"/>
      <c r="D168" s="385"/>
      <c r="E168" s="385"/>
      <c r="F168" s="385"/>
      <c r="G168" s="385"/>
      <c r="H168" s="385"/>
      <c r="I168" s="385"/>
    </row>
    <row r="169" spans="1:10" ht="23.25" customHeight="1">
      <c r="A169" s="12"/>
      <c r="B169" s="8"/>
      <c r="C169" s="8"/>
      <c r="D169" s="8"/>
      <c r="E169" s="8"/>
      <c r="F169" s="8"/>
      <c r="G169" s="8"/>
      <c r="H169" s="8"/>
      <c r="I169" s="8"/>
    </row>
    <row r="170" spans="1:10" ht="36" customHeight="1">
      <c r="A170" s="11" t="s">
        <v>60</v>
      </c>
      <c r="B170" s="385" t="s">
        <v>119</v>
      </c>
      <c r="C170" s="385"/>
      <c r="D170" s="385"/>
      <c r="E170" s="385"/>
      <c r="F170" s="385"/>
      <c r="G170" s="385"/>
      <c r="H170" s="385"/>
      <c r="I170" s="385"/>
    </row>
    <row r="171" spans="1:10" ht="21" customHeight="1">
      <c r="J171" s="1"/>
    </row>
    <row r="172" spans="1:10">
      <c r="J172" s="1"/>
    </row>
    <row r="173" spans="1:10" ht="52.5" customHeight="1">
      <c r="A173" s="11" t="s">
        <v>81</v>
      </c>
      <c r="B173" s="385" t="s">
        <v>120</v>
      </c>
      <c r="C173" s="385"/>
      <c r="D173" s="385"/>
      <c r="E173" s="385"/>
      <c r="F173" s="385"/>
      <c r="G173" s="385"/>
      <c r="H173" s="385"/>
      <c r="I173" s="385"/>
    </row>
    <row r="174" spans="1:10" ht="20.25" customHeight="1">
      <c r="A174" s="11"/>
      <c r="B174" s="8"/>
      <c r="C174" s="8"/>
      <c r="D174" s="8"/>
      <c r="E174" s="8"/>
      <c r="F174" s="8"/>
      <c r="G174" s="8"/>
      <c r="H174" s="8"/>
      <c r="I174" s="8"/>
    </row>
    <row r="175" spans="1:10" ht="40.5" customHeight="1">
      <c r="A175" s="11" t="s">
        <v>100</v>
      </c>
      <c r="B175" s="385" t="s">
        <v>121</v>
      </c>
      <c r="C175" s="385"/>
      <c r="D175" s="385"/>
      <c r="E175" s="385"/>
      <c r="F175" s="385"/>
      <c r="G175" s="385"/>
      <c r="H175" s="385"/>
      <c r="I175" s="385"/>
    </row>
    <row r="176" spans="1:10" ht="21.75" customHeight="1">
      <c r="A176" s="11"/>
      <c r="B176" s="8"/>
      <c r="C176" s="8"/>
      <c r="D176" s="8"/>
      <c r="E176" s="8"/>
      <c r="F176" s="8"/>
      <c r="G176" s="8"/>
      <c r="H176" s="8"/>
      <c r="I176" s="8"/>
    </row>
    <row r="177" spans="1:10" ht="88.5" customHeight="1">
      <c r="A177" s="11" t="s">
        <v>102</v>
      </c>
      <c r="B177" s="385" t="s">
        <v>122</v>
      </c>
      <c r="C177" s="385"/>
      <c r="D177" s="385"/>
      <c r="E177" s="385"/>
      <c r="F177" s="385"/>
      <c r="G177" s="385"/>
      <c r="H177" s="385"/>
      <c r="I177" s="385"/>
    </row>
    <row r="178" spans="1:10" ht="18" customHeight="1">
      <c r="A178" s="11"/>
      <c r="B178" s="8"/>
      <c r="C178" s="8"/>
      <c r="D178" s="8"/>
      <c r="E178" s="8"/>
      <c r="F178" s="8"/>
      <c r="G178" s="8"/>
      <c r="H178" s="8"/>
      <c r="I178" s="8"/>
    </row>
    <row r="179" spans="1:10" ht="63" customHeight="1">
      <c r="A179" s="11" t="s">
        <v>123</v>
      </c>
      <c r="B179" s="385" t="s">
        <v>124</v>
      </c>
      <c r="C179" s="385"/>
      <c r="D179" s="385"/>
      <c r="E179" s="385"/>
      <c r="F179" s="385"/>
      <c r="G179" s="385"/>
      <c r="H179" s="385"/>
      <c r="I179" s="385"/>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380" t="s">
        <v>45</v>
      </c>
      <c r="B182" s="380"/>
      <c r="C182" s="380"/>
      <c r="D182" s="380"/>
      <c r="E182" s="384" t="s">
        <v>45</v>
      </c>
      <c r="F182" s="384"/>
      <c r="G182" s="384"/>
      <c r="H182" s="384"/>
      <c r="I182" s="384"/>
      <c r="J182" s="1"/>
    </row>
    <row r="183" spans="1:10" ht="33" customHeight="1">
      <c r="A183" s="382" t="s">
        <v>46</v>
      </c>
      <c r="B183" s="382"/>
      <c r="C183" s="382"/>
      <c r="D183" s="382"/>
      <c r="E183" s="383" t="s">
        <v>47</v>
      </c>
      <c r="F183" s="383"/>
      <c r="G183" s="383"/>
      <c r="H183" s="383"/>
      <c r="I183" s="383"/>
      <c r="J183" s="1"/>
    </row>
    <row r="184" spans="1:10" ht="22.5" customHeight="1">
      <c r="A184" s="56" t="s">
        <v>13</v>
      </c>
      <c r="B184" s="5"/>
      <c r="C184" s="5"/>
      <c r="D184" s="5"/>
      <c r="E184" s="5"/>
      <c r="F184" s="5"/>
      <c r="G184" s="5"/>
      <c r="H184" s="5"/>
      <c r="I184" s="57" t="s">
        <v>125</v>
      </c>
      <c r="J184" s="1"/>
    </row>
    <row r="185" spans="1:10" ht="53.25" customHeight="1">
      <c r="A185" s="11" t="s">
        <v>104</v>
      </c>
      <c r="B185" s="385" t="s">
        <v>126</v>
      </c>
      <c r="C185" s="385"/>
      <c r="D185" s="385"/>
      <c r="E185" s="385"/>
      <c r="F185" s="385"/>
      <c r="G185" s="385"/>
      <c r="H185" s="385"/>
      <c r="I185" s="385"/>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127</v>
      </c>
      <c r="C188" s="14"/>
      <c r="D188" s="14"/>
      <c r="E188" s="14"/>
      <c r="F188" s="14" t="s">
        <v>127</v>
      </c>
      <c r="G188" s="14"/>
      <c r="H188" s="14"/>
      <c r="I188" s="14"/>
    </row>
    <row r="189" spans="1:10" ht="35.25" customHeight="1">
      <c r="A189" s="8"/>
      <c r="B189" s="397" t="s">
        <v>46</v>
      </c>
      <c r="C189" s="397"/>
      <c r="D189" s="397"/>
      <c r="E189" s="397"/>
      <c r="F189" s="398" t="s">
        <v>47</v>
      </c>
      <c r="G189" s="397"/>
      <c r="H189" s="397"/>
      <c r="I189" s="397"/>
    </row>
    <row r="190" spans="1:10" ht="21.95" customHeight="1">
      <c r="A190" s="8"/>
      <c r="B190" s="15"/>
      <c r="C190" s="9"/>
      <c r="D190" s="9"/>
      <c r="E190" s="9"/>
      <c r="F190" s="16"/>
      <c r="G190" s="16"/>
      <c r="H190" s="16"/>
      <c r="I190" s="16"/>
    </row>
    <row r="191" spans="1:10" ht="21.95" customHeight="1">
      <c r="A191" s="8"/>
      <c r="B191" s="380" t="s">
        <v>128</v>
      </c>
      <c r="C191" s="380"/>
      <c r="D191" s="380"/>
      <c r="E191" s="380"/>
      <c r="F191" s="380" t="s">
        <v>128</v>
      </c>
      <c r="G191" s="380"/>
      <c r="H191" s="380"/>
      <c r="I191" s="380"/>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129</v>
      </c>
      <c r="C194" s="17"/>
      <c r="D194" s="5"/>
      <c r="E194" s="5"/>
      <c r="F194" s="389" t="str">
        <f>"Name : "&amp;'Name of Bidder'!C17</f>
        <v xml:space="preserve">Name : </v>
      </c>
      <c r="G194" s="389"/>
      <c r="H194" s="389"/>
      <c r="I194" s="389"/>
    </row>
    <row r="195" spans="1:9" ht="21.95" customHeight="1">
      <c r="A195" s="8"/>
      <c r="B195" s="5" t="s">
        <v>22</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380" t="s">
        <v>130</v>
      </c>
      <c r="C197" s="380"/>
      <c r="D197" s="380"/>
      <c r="E197" s="380"/>
      <c r="F197" s="380" t="s">
        <v>130</v>
      </c>
      <c r="G197" s="380"/>
      <c r="H197" s="380"/>
      <c r="I197" s="380"/>
    </row>
    <row r="198" spans="1:9" ht="21.95" customHeight="1">
      <c r="A198" s="8"/>
      <c r="B198" s="5" t="s">
        <v>129</v>
      </c>
      <c r="C198" s="5"/>
      <c r="D198" s="5"/>
      <c r="E198" s="5"/>
      <c r="F198" s="5" t="s">
        <v>129</v>
      </c>
      <c r="G198" s="14"/>
      <c r="H198" s="14"/>
      <c r="I198" s="14"/>
    </row>
    <row r="199" spans="1:9" ht="21.95" customHeight="1">
      <c r="A199" s="8"/>
      <c r="B199" s="5" t="s">
        <v>22</v>
      </c>
      <c r="C199" s="5"/>
      <c r="D199" s="5"/>
      <c r="E199" s="5"/>
      <c r="F199" s="5" t="s">
        <v>22</v>
      </c>
      <c r="G199" s="8"/>
      <c r="H199" s="8"/>
      <c r="I199" s="8"/>
    </row>
    <row r="200" spans="1:9" ht="21.95" customHeight="1">
      <c r="A200" s="8"/>
      <c r="B200" s="8"/>
      <c r="C200" s="8"/>
      <c r="D200" s="8"/>
      <c r="E200" s="8"/>
      <c r="F200" s="8"/>
      <c r="G200" s="8"/>
      <c r="H200" s="8"/>
      <c r="I200" s="8"/>
    </row>
    <row r="201" spans="1:9" ht="21.95" customHeight="1">
      <c r="A201" s="8"/>
      <c r="B201" s="380" t="s">
        <v>131</v>
      </c>
      <c r="C201" s="380"/>
      <c r="D201" s="380"/>
      <c r="E201" s="380"/>
      <c r="F201" s="380" t="s">
        <v>131</v>
      </c>
      <c r="G201" s="380"/>
      <c r="H201" s="380"/>
      <c r="I201" s="380"/>
    </row>
    <row r="202" spans="1:9" ht="21.95" customHeight="1">
      <c r="A202" s="8"/>
      <c r="B202" s="5" t="s">
        <v>129</v>
      </c>
      <c r="C202" s="5"/>
      <c r="D202" s="5"/>
      <c r="E202" s="5"/>
      <c r="F202" s="5" t="s">
        <v>129</v>
      </c>
      <c r="G202" s="14"/>
      <c r="H202" s="14"/>
      <c r="I202" s="14"/>
    </row>
    <row r="203" spans="1:9" ht="21.95" customHeight="1">
      <c r="A203" s="8"/>
      <c r="B203" s="5" t="s">
        <v>22</v>
      </c>
      <c r="C203" s="5"/>
      <c r="D203" s="5"/>
      <c r="E203" s="5"/>
      <c r="F203" s="5" t="s">
        <v>22</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13</v>
      </c>
      <c r="B223" s="5"/>
      <c r="C223" s="5"/>
      <c r="D223" s="5"/>
      <c r="E223" s="5"/>
      <c r="F223" s="5"/>
      <c r="G223" s="5"/>
      <c r="H223" s="5"/>
      <c r="I223" s="57" t="s">
        <v>132</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4"/>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5"/>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6"/>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10"/>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2"/>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4"/>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6"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133</v>
      </c>
    </row>
    <row r="3" spans="1:27" ht="13.5" hidden="1" thickBot="1">
      <c r="A3" s="406">
        <v>155885</v>
      </c>
      <c r="B3" s="407"/>
      <c r="C3" s="32"/>
      <c r="D3" s="33"/>
      <c r="E3" s="32"/>
      <c r="F3" s="406">
        <v>4960</v>
      </c>
      <c r="G3" s="407"/>
      <c r="H3" s="32"/>
      <c r="I3" s="33"/>
      <c r="K3" s="406">
        <v>10352</v>
      </c>
      <c r="L3" s="407"/>
      <c r="M3" s="32"/>
      <c r="N3" s="33"/>
      <c r="P3" s="406">
        <v>691647</v>
      </c>
      <c r="Q3" s="407"/>
      <c r="R3" s="32"/>
      <c r="S3" s="33"/>
      <c r="U3" s="31" t="s">
        <v>134</v>
      </c>
    </row>
    <row r="4" spans="1:27" hidden="1">
      <c r="A4" s="401"/>
      <c r="B4" s="402"/>
      <c r="C4" s="32"/>
      <c r="D4" s="33"/>
      <c r="E4" s="32"/>
      <c r="F4" s="34"/>
      <c r="G4" s="32"/>
      <c r="H4" s="32"/>
      <c r="I4" s="33"/>
      <c r="K4" s="34"/>
      <c r="L4" s="32"/>
      <c r="M4" s="32"/>
      <c r="N4" s="33"/>
      <c r="P4" s="34"/>
      <c r="Q4" s="32"/>
      <c r="R4" s="32"/>
      <c r="S4" s="33"/>
      <c r="U4" s="31" t="s">
        <v>135</v>
      </c>
    </row>
    <row r="5" spans="1:27" hidden="1">
      <c r="A5" s="34"/>
      <c r="B5" s="35"/>
      <c r="C5" s="35"/>
      <c r="D5" s="36"/>
      <c r="E5" s="35"/>
      <c r="F5" s="34"/>
      <c r="G5" s="35"/>
      <c r="H5" s="35"/>
      <c r="I5" s="36"/>
      <c r="K5" s="34"/>
      <c r="L5" s="35"/>
      <c r="M5" s="35"/>
      <c r="N5" s="36"/>
      <c r="P5" s="34"/>
      <c r="Q5" s="35"/>
      <c r="R5" s="35"/>
      <c r="S5" s="36"/>
      <c r="U5" s="31" t="s">
        <v>136</v>
      </c>
    </row>
    <row r="6" spans="1:27" ht="51.75" hidden="1" customHeight="1" thickBot="1">
      <c r="A6" s="403" t="str">
        <f>IF(OR((A3&gt;9999999999),(A3&lt;0)),"Invalid Entry - More than 1000 crore OR -ve value",IF(A3=0, "",+CONCATENATE(U2,B13,D13,B12,D12,B11,D11,B10,D10,B9,D9,B8," Only")))</f>
        <v>USD One Lac Fifty Five Thousand Eight Hundred Eighty Five Only</v>
      </c>
      <c r="B6" s="404"/>
      <c r="C6" s="404"/>
      <c r="D6" s="405"/>
      <c r="E6" s="37"/>
      <c r="F6" s="403" t="str">
        <f>IF(OR((F3&gt;9999999999),(F3&lt;0)),"Invalid Entry - More than 1000 crore OR -ve value",IF(F3=0, "",+CONCATENATE(U3, G13,I13,G12,I12,G11,I11,G10,I10,G9,I9,G8," Only")))</f>
        <v>EURO Four Thousand Nine Hundred Sixty Only</v>
      </c>
      <c r="G6" s="404"/>
      <c r="H6" s="404"/>
      <c r="I6" s="405"/>
      <c r="J6" s="37"/>
      <c r="K6" s="403" t="str">
        <f>IF(OR((K3&gt;9999999999),(K3&lt;0)),"Invalid Entry - More than 1000 crore OR -ve value",IF(K3=0, "",+CONCATENATE(U4, L13,N13,L12,N12,L11,N11,L10,N10,L9,N9,L8," Only")))</f>
        <v>RMB Ten Thousand Three Hundred Fifty Two Only</v>
      </c>
      <c r="L6" s="404"/>
      <c r="M6" s="404"/>
      <c r="N6" s="405"/>
      <c r="P6" s="403" t="str">
        <f>IF(OR((P3&gt;9999999999),(P3&lt;0)),"Invalid Entry - More than 1000 crore OR -ve value",IF(P3=0, "",+CONCATENATE(U5, Q13,S13,Q12,S12,Q11,S11,Q10,S10,Q9,S9,Q8," Only")))</f>
        <v>INR Six Lac Ninety One Thousand Six Hundred Forty Seven Only</v>
      </c>
      <c r="Q6" s="404"/>
      <c r="R6" s="404"/>
      <c r="S6" s="405"/>
      <c r="U6" s="408" t="str">
        <f>VLOOKUP(1,T30:Y45,6,FALSE)</f>
        <v>USD 155885/- + EURO 4960/- + RMB 10352/- + INR 691647/-</v>
      </c>
      <c r="V6" s="408"/>
      <c r="W6" s="408"/>
      <c r="X6" s="408"/>
      <c r="Y6" s="408"/>
      <c r="Z6" s="408"/>
      <c r="AA6" s="408"/>
    </row>
    <row r="7" spans="1:27" ht="70.5" hidden="1" customHeight="1" thickBot="1">
      <c r="A7" s="34"/>
      <c r="B7" s="35"/>
      <c r="C7" s="35"/>
      <c r="D7" s="36"/>
      <c r="E7" s="35"/>
      <c r="F7" s="34"/>
      <c r="G7" s="35"/>
      <c r="H7" s="35"/>
      <c r="I7" s="36"/>
      <c r="K7" s="34"/>
      <c r="L7" s="35"/>
      <c r="M7" s="35"/>
      <c r="N7" s="36"/>
      <c r="P7" s="34"/>
      <c r="Q7" s="35"/>
      <c r="R7" s="35"/>
      <c r="S7" s="36"/>
      <c r="U7" s="409" t="str">
        <f>VLOOKUP(1,T10:Y25,6,FALSE)</f>
        <v>USD One Lac Fifty Five Thousand Eight Hundred Eighty Five Only plus EURO Four Thousand Nine Hundred Sixty Only plus RMB Ten Thousand Three Hundred Fifty Two Only plus INR Six Lac Ninety One Thousand Six Hundred Forty Seven Only</v>
      </c>
      <c r="V7" s="410"/>
      <c r="W7" s="410"/>
      <c r="X7" s="410"/>
      <c r="Y7" s="410"/>
      <c r="Z7" s="410"/>
      <c r="AA7" s="411"/>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137</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138</v>
      </c>
      <c r="C15" s="35"/>
      <c r="D15" s="36"/>
      <c r="E15" s="35"/>
      <c r="F15" s="46">
        <v>1</v>
      </c>
      <c r="G15" s="47" t="s">
        <v>138</v>
      </c>
      <c r="H15" s="35"/>
      <c r="I15" s="36"/>
      <c r="K15" s="46">
        <v>1</v>
      </c>
      <c r="L15" s="47" t="s">
        <v>138</v>
      </c>
      <c r="M15" s="35"/>
      <c r="N15" s="36"/>
      <c r="P15" s="46">
        <v>1</v>
      </c>
      <c r="Q15" s="47" t="s">
        <v>138</v>
      </c>
      <c r="R15" s="35"/>
      <c r="S15" s="36"/>
      <c r="T15" s="40">
        <f t="shared" si="4"/>
        <v>0</v>
      </c>
      <c r="U15" s="25">
        <v>0</v>
      </c>
      <c r="V15" s="25">
        <v>1</v>
      </c>
      <c r="W15" s="25">
        <v>0</v>
      </c>
      <c r="X15" s="25">
        <v>1</v>
      </c>
      <c r="Y15" s="42" t="str">
        <f>IF(AND($A$3=0,$F$3&gt;0,$K$3=0,$P$3&gt;0),$F$6&amp;$AA$10&amp;$P$6, "")</f>
        <v/>
      </c>
    </row>
    <row r="16" spans="1:27" hidden="1">
      <c r="A16" s="46">
        <v>2</v>
      </c>
      <c r="B16" s="47" t="s">
        <v>139</v>
      </c>
      <c r="C16" s="35"/>
      <c r="D16" s="36"/>
      <c r="E16" s="35"/>
      <c r="F16" s="46">
        <v>2</v>
      </c>
      <c r="G16" s="47" t="s">
        <v>139</v>
      </c>
      <c r="H16" s="35"/>
      <c r="I16" s="36"/>
      <c r="K16" s="46">
        <v>2</v>
      </c>
      <c r="L16" s="47" t="s">
        <v>139</v>
      </c>
      <c r="M16" s="35"/>
      <c r="N16" s="36"/>
      <c r="P16" s="46">
        <v>2</v>
      </c>
      <c r="Q16" s="47" t="s">
        <v>139</v>
      </c>
      <c r="R16" s="35"/>
      <c r="S16" s="36"/>
      <c r="T16" s="40">
        <f t="shared" si="4"/>
        <v>0</v>
      </c>
      <c r="U16" s="25">
        <v>0</v>
      </c>
      <c r="V16" s="25">
        <v>1</v>
      </c>
      <c r="W16" s="25">
        <v>1</v>
      </c>
      <c r="X16" s="25">
        <v>0</v>
      </c>
      <c r="Y16" s="42" t="str">
        <f>IF(AND($A$3=0,$F$3&gt;0,$K$3&gt;0,$P$3=0),$F$6&amp;$AA$10&amp;$K$6, "")</f>
        <v/>
      </c>
    </row>
    <row r="17" spans="1:27" hidden="1">
      <c r="A17" s="46">
        <v>3</v>
      </c>
      <c r="B17" s="47" t="s">
        <v>140</v>
      </c>
      <c r="C17" s="35"/>
      <c r="D17" s="36"/>
      <c r="E17" s="35"/>
      <c r="F17" s="46">
        <v>3</v>
      </c>
      <c r="G17" s="47" t="s">
        <v>140</v>
      </c>
      <c r="H17" s="35"/>
      <c r="I17" s="36"/>
      <c r="K17" s="46">
        <v>3</v>
      </c>
      <c r="L17" s="47" t="s">
        <v>140</v>
      </c>
      <c r="M17" s="35"/>
      <c r="N17" s="36"/>
      <c r="P17" s="46">
        <v>3</v>
      </c>
      <c r="Q17" s="47" t="s">
        <v>140</v>
      </c>
      <c r="R17" s="35"/>
      <c r="S17" s="36"/>
      <c r="T17" s="40">
        <f t="shared" si="4"/>
        <v>0</v>
      </c>
      <c r="U17" s="25">
        <v>0</v>
      </c>
      <c r="V17" s="25">
        <v>1</v>
      </c>
      <c r="W17" s="25">
        <v>1</v>
      </c>
      <c r="X17" s="25">
        <v>1</v>
      </c>
      <c r="Y17" s="48" t="str">
        <f>IF(AND($A$3=0,$F$3&gt;0,$K$3&gt;0,$P$3&gt;0),$F$6&amp;$AA$10&amp;$K$6&amp;$AA$10&amp;$P$6, "")</f>
        <v/>
      </c>
    </row>
    <row r="18" spans="1:27" hidden="1">
      <c r="A18" s="46">
        <v>4</v>
      </c>
      <c r="B18" s="47" t="s">
        <v>141</v>
      </c>
      <c r="C18" s="35"/>
      <c r="D18" s="36"/>
      <c r="E18" s="35"/>
      <c r="F18" s="46">
        <v>4</v>
      </c>
      <c r="G18" s="47" t="s">
        <v>141</v>
      </c>
      <c r="H18" s="35"/>
      <c r="I18" s="36"/>
      <c r="K18" s="46">
        <v>4</v>
      </c>
      <c r="L18" s="47" t="s">
        <v>141</v>
      </c>
      <c r="M18" s="35"/>
      <c r="N18" s="36"/>
      <c r="P18" s="46">
        <v>4</v>
      </c>
      <c r="Q18" s="47" t="s">
        <v>141</v>
      </c>
      <c r="R18" s="35"/>
      <c r="S18" s="36"/>
      <c r="T18" s="40">
        <f t="shared" si="4"/>
        <v>0</v>
      </c>
      <c r="U18" s="25">
        <v>1</v>
      </c>
      <c r="V18" s="25">
        <v>0</v>
      </c>
      <c r="W18" s="25">
        <v>0</v>
      </c>
      <c r="X18" s="25">
        <v>0</v>
      </c>
      <c r="Y18" s="41" t="str">
        <f>IF(AND($A$3&gt;0,$F$3=0,$K$3=0,$P$3=0), $A$6, "")</f>
        <v/>
      </c>
    </row>
    <row r="19" spans="1:27" hidden="1">
      <c r="A19" s="46">
        <v>5</v>
      </c>
      <c r="B19" s="47" t="s">
        <v>142</v>
      </c>
      <c r="C19" s="35"/>
      <c r="D19" s="36"/>
      <c r="E19" s="35"/>
      <c r="F19" s="46">
        <v>5</v>
      </c>
      <c r="G19" s="47" t="s">
        <v>142</v>
      </c>
      <c r="H19" s="35"/>
      <c r="I19" s="36"/>
      <c r="K19" s="46">
        <v>5</v>
      </c>
      <c r="L19" s="47" t="s">
        <v>142</v>
      </c>
      <c r="M19" s="35"/>
      <c r="N19" s="36"/>
      <c r="P19" s="46">
        <v>5</v>
      </c>
      <c r="Q19" s="47" t="s">
        <v>142</v>
      </c>
      <c r="R19" s="35"/>
      <c r="S19" s="36"/>
      <c r="T19" s="40">
        <f t="shared" si="4"/>
        <v>0</v>
      </c>
      <c r="U19" s="25">
        <v>1</v>
      </c>
      <c r="V19" s="25">
        <v>0</v>
      </c>
      <c r="W19" s="25">
        <v>0</v>
      </c>
      <c r="X19" s="25">
        <v>1</v>
      </c>
      <c r="Y19" s="42" t="str">
        <f>IF(AND($A$3&gt;0,$F$3=0,$K$3=0,$P$3&gt;0),$A$6&amp;$AA$10&amp;$P$6, "")</f>
        <v/>
      </c>
    </row>
    <row r="20" spans="1:27" hidden="1">
      <c r="A20" s="46">
        <v>6</v>
      </c>
      <c r="B20" s="47" t="s">
        <v>143</v>
      </c>
      <c r="C20" s="35"/>
      <c r="D20" s="36"/>
      <c r="E20" s="35"/>
      <c r="F20" s="46">
        <v>6</v>
      </c>
      <c r="G20" s="47" t="s">
        <v>143</v>
      </c>
      <c r="H20" s="35"/>
      <c r="I20" s="36"/>
      <c r="K20" s="46">
        <v>6</v>
      </c>
      <c r="L20" s="47" t="s">
        <v>143</v>
      </c>
      <c r="M20" s="35"/>
      <c r="N20" s="36"/>
      <c r="P20" s="46">
        <v>6</v>
      </c>
      <c r="Q20" s="47" t="s">
        <v>143</v>
      </c>
      <c r="R20" s="35"/>
      <c r="S20" s="36"/>
      <c r="T20" s="40">
        <f t="shared" si="4"/>
        <v>0</v>
      </c>
      <c r="U20" s="25">
        <v>1</v>
      </c>
      <c r="V20" s="25">
        <v>0</v>
      </c>
      <c r="W20" s="25">
        <v>1</v>
      </c>
      <c r="X20" s="25">
        <v>0</v>
      </c>
      <c r="Y20" s="42" t="str">
        <f>IF(AND($A$3&gt;0,$F$3=0,$K$3&gt;0,$P$3=0),$A$6&amp;$AA$10&amp;$K$6, "")</f>
        <v/>
      </c>
    </row>
    <row r="21" spans="1:27" hidden="1">
      <c r="A21" s="46">
        <v>7</v>
      </c>
      <c r="B21" s="47" t="s">
        <v>144</v>
      </c>
      <c r="C21" s="35"/>
      <c r="D21" s="36"/>
      <c r="E21" s="35"/>
      <c r="F21" s="46">
        <v>7</v>
      </c>
      <c r="G21" s="47" t="s">
        <v>144</v>
      </c>
      <c r="H21" s="35"/>
      <c r="I21" s="36"/>
      <c r="K21" s="46">
        <v>7</v>
      </c>
      <c r="L21" s="47" t="s">
        <v>144</v>
      </c>
      <c r="M21" s="35"/>
      <c r="N21" s="36"/>
      <c r="P21" s="46">
        <v>7</v>
      </c>
      <c r="Q21" s="47" t="s">
        <v>144</v>
      </c>
      <c r="R21" s="35"/>
      <c r="S21" s="36"/>
      <c r="T21" s="40">
        <f t="shared" si="4"/>
        <v>0</v>
      </c>
      <c r="U21" s="25">
        <v>1</v>
      </c>
      <c r="V21" s="25">
        <v>0</v>
      </c>
      <c r="W21" s="25">
        <v>1</v>
      </c>
      <c r="X21" s="25">
        <v>1</v>
      </c>
      <c r="Y21" s="42" t="str">
        <f>IF(AND($A$3&gt;0,$F$3=0,$K$3&gt;0,$P$3&gt;0),$A$6&amp;$AA$10&amp;$K$6&amp;$AA$10&amp;$P$6, "")</f>
        <v/>
      </c>
    </row>
    <row r="22" spans="1:27" hidden="1">
      <c r="A22" s="46">
        <v>8</v>
      </c>
      <c r="B22" s="47" t="s">
        <v>145</v>
      </c>
      <c r="C22" s="35"/>
      <c r="D22" s="36"/>
      <c r="E22" s="35"/>
      <c r="F22" s="46">
        <v>8</v>
      </c>
      <c r="G22" s="47" t="s">
        <v>145</v>
      </c>
      <c r="H22" s="35"/>
      <c r="I22" s="36"/>
      <c r="K22" s="46">
        <v>8</v>
      </c>
      <c r="L22" s="47" t="s">
        <v>145</v>
      </c>
      <c r="M22" s="35"/>
      <c r="N22" s="36"/>
      <c r="P22" s="46">
        <v>8</v>
      </c>
      <c r="Q22" s="47" t="s">
        <v>145</v>
      </c>
      <c r="R22" s="35"/>
      <c r="S22" s="36"/>
      <c r="T22" s="40">
        <f t="shared" si="4"/>
        <v>0</v>
      </c>
      <c r="U22" s="25">
        <v>1</v>
      </c>
      <c r="V22" s="25">
        <v>1</v>
      </c>
      <c r="W22" s="25">
        <v>0</v>
      </c>
      <c r="X22" s="25">
        <v>0</v>
      </c>
      <c r="Y22" s="42" t="str">
        <f>IF(AND($A$3&gt;0,$F$3&gt;0,$K$3=0,$P$3=0),$A$6&amp;$AA$10&amp;$F$6, "")</f>
        <v/>
      </c>
    </row>
    <row r="23" spans="1:27" hidden="1">
      <c r="A23" s="46">
        <v>9</v>
      </c>
      <c r="B23" s="47" t="s">
        <v>146</v>
      </c>
      <c r="C23" s="35"/>
      <c r="D23" s="36"/>
      <c r="E23" s="35"/>
      <c r="F23" s="46">
        <v>9</v>
      </c>
      <c r="G23" s="47" t="s">
        <v>146</v>
      </c>
      <c r="H23" s="35"/>
      <c r="I23" s="36"/>
      <c r="K23" s="46">
        <v>9</v>
      </c>
      <c r="L23" s="47" t="s">
        <v>146</v>
      </c>
      <c r="M23" s="35"/>
      <c r="N23" s="36"/>
      <c r="P23" s="46">
        <v>9</v>
      </c>
      <c r="Q23" s="47" t="s">
        <v>146</v>
      </c>
      <c r="R23" s="35"/>
      <c r="S23" s="36"/>
      <c r="T23" s="40">
        <f t="shared" si="4"/>
        <v>0</v>
      </c>
      <c r="U23" s="25">
        <v>1</v>
      </c>
      <c r="V23" s="25">
        <v>1</v>
      </c>
      <c r="W23" s="25">
        <v>0</v>
      </c>
      <c r="X23" s="25">
        <v>1</v>
      </c>
      <c r="Y23" s="42" t="str">
        <f>IF(AND($A$3&gt;0,$F$3&gt;0,$K$3=0,$P$3&gt;0),$A$6&amp;$AA$10&amp;$F$6&amp;$AA$10&amp;$P$6, "")</f>
        <v/>
      </c>
    </row>
    <row r="24" spans="1:27" hidden="1">
      <c r="A24" s="46">
        <v>10</v>
      </c>
      <c r="B24" s="47" t="s">
        <v>147</v>
      </c>
      <c r="C24" s="35"/>
      <c r="D24" s="36"/>
      <c r="E24" s="35"/>
      <c r="F24" s="46">
        <v>10</v>
      </c>
      <c r="G24" s="47" t="s">
        <v>147</v>
      </c>
      <c r="H24" s="35"/>
      <c r="I24" s="36"/>
      <c r="K24" s="46">
        <v>10</v>
      </c>
      <c r="L24" s="47" t="s">
        <v>147</v>
      </c>
      <c r="M24" s="35"/>
      <c r="N24" s="36"/>
      <c r="P24" s="46">
        <v>10</v>
      </c>
      <c r="Q24" s="47" t="s">
        <v>147</v>
      </c>
      <c r="R24" s="35"/>
      <c r="S24" s="36"/>
      <c r="T24" s="40">
        <f t="shared" si="4"/>
        <v>0</v>
      </c>
      <c r="U24" s="25">
        <v>1</v>
      </c>
      <c r="V24" s="25">
        <v>1</v>
      </c>
      <c r="W24" s="25">
        <v>1</v>
      </c>
      <c r="X24" s="25">
        <v>0</v>
      </c>
      <c r="Y24" s="42" t="str">
        <f>IF(AND($A$3&gt;0,$F$3&gt;0,$K$3&gt;0,$P$3=0),$A$6&amp;$AA$10&amp;$F$6&amp;$AA$10&amp;$K$6, "")</f>
        <v/>
      </c>
    </row>
    <row r="25" spans="1:27" hidden="1">
      <c r="A25" s="46">
        <v>11</v>
      </c>
      <c r="B25" s="47" t="s">
        <v>148</v>
      </c>
      <c r="C25" s="35"/>
      <c r="D25" s="36"/>
      <c r="E25" s="35"/>
      <c r="F25" s="46">
        <v>11</v>
      </c>
      <c r="G25" s="47" t="s">
        <v>148</v>
      </c>
      <c r="H25" s="35"/>
      <c r="I25" s="36"/>
      <c r="K25" s="46">
        <v>11</v>
      </c>
      <c r="L25" s="47" t="s">
        <v>148</v>
      </c>
      <c r="M25" s="35"/>
      <c r="N25" s="36"/>
      <c r="P25" s="46">
        <v>11</v>
      </c>
      <c r="Q25" s="47" t="s">
        <v>148</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149</v>
      </c>
      <c r="C26" s="35"/>
      <c r="D26" s="36"/>
      <c r="E26" s="35"/>
      <c r="F26" s="46">
        <v>12</v>
      </c>
      <c r="G26" s="47" t="s">
        <v>149</v>
      </c>
      <c r="H26" s="35"/>
      <c r="I26" s="36"/>
      <c r="K26" s="46">
        <v>12</v>
      </c>
      <c r="L26" s="47" t="s">
        <v>149</v>
      </c>
      <c r="M26" s="35"/>
      <c r="N26" s="36"/>
      <c r="P26" s="46">
        <v>12</v>
      </c>
      <c r="Q26" s="47" t="s">
        <v>149</v>
      </c>
      <c r="R26" s="35"/>
      <c r="S26" s="36"/>
    </row>
    <row r="27" spans="1:27" hidden="1">
      <c r="A27" s="46">
        <v>13</v>
      </c>
      <c r="B27" s="47" t="s">
        <v>150</v>
      </c>
      <c r="C27" s="35"/>
      <c r="D27" s="36"/>
      <c r="E27" s="35"/>
      <c r="F27" s="46">
        <v>13</v>
      </c>
      <c r="G27" s="47" t="s">
        <v>150</v>
      </c>
      <c r="H27" s="35"/>
      <c r="I27" s="36"/>
      <c r="K27" s="46">
        <v>13</v>
      </c>
      <c r="L27" s="47" t="s">
        <v>150</v>
      </c>
      <c r="M27" s="35"/>
      <c r="N27" s="36"/>
      <c r="P27" s="46">
        <v>13</v>
      </c>
      <c r="Q27" s="47" t="s">
        <v>150</v>
      </c>
      <c r="R27" s="35"/>
      <c r="S27" s="36"/>
    </row>
    <row r="28" spans="1:27" hidden="1">
      <c r="A28" s="46">
        <v>14</v>
      </c>
      <c r="B28" s="47" t="s">
        <v>151</v>
      </c>
      <c r="C28" s="35"/>
      <c r="D28" s="36"/>
      <c r="E28" s="35"/>
      <c r="F28" s="46">
        <v>14</v>
      </c>
      <c r="G28" s="47" t="s">
        <v>151</v>
      </c>
      <c r="H28" s="35"/>
      <c r="I28" s="36"/>
      <c r="K28" s="46">
        <v>14</v>
      </c>
      <c r="L28" s="47" t="s">
        <v>151</v>
      </c>
      <c r="M28" s="35"/>
      <c r="N28" s="36"/>
      <c r="P28" s="46">
        <v>14</v>
      </c>
      <c r="Q28" s="47" t="s">
        <v>151</v>
      </c>
      <c r="R28" s="35"/>
      <c r="S28" s="36"/>
    </row>
    <row r="29" spans="1:27" hidden="1">
      <c r="A29" s="46">
        <v>15</v>
      </c>
      <c r="B29" s="47" t="s">
        <v>152</v>
      </c>
      <c r="C29" s="35"/>
      <c r="D29" s="36"/>
      <c r="E29" s="35"/>
      <c r="F29" s="46">
        <v>15</v>
      </c>
      <c r="G29" s="47" t="s">
        <v>152</v>
      </c>
      <c r="H29" s="35"/>
      <c r="I29" s="36"/>
      <c r="K29" s="46">
        <v>15</v>
      </c>
      <c r="L29" s="47" t="s">
        <v>152</v>
      </c>
      <c r="M29" s="35"/>
      <c r="N29" s="36"/>
      <c r="P29" s="46">
        <v>15</v>
      </c>
      <c r="Q29" s="47" t="s">
        <v>152</v>
      </c>
      <c r="R29" s="35"/>
      <c r="S29" s="36"/>
    </row>
    <row r="30" spans="1:27" hidden="1">
      <c r="A30" s="46">
        <v>16</v>
      </c>
      <c r="B30" s="47" t="s">
        <v>153</v>
      </c>
      <c r="C30" s="35"/>
      <c r="D30" s="36"/>
      <c r="E30" s="35"/>
      <c r="F30" s="46">
        <v>16</v>
      </c>
      <c r="G30" s="47" t="s">
        <v>153</v>
      </c>
      <c r="H30" s="35"/>
      <c r="I30" s="36"/>
      <c r="K30" s="46">
        <v>16</v>
      </c>
      <c r="L30" s="47" t="s">
        <v>153</v>
      </c>
      <c r="M30" s="35"/>
      <c r="N30" s="36"/>
      <c r="P30" s="46">
        <v>16</v>
      </c>
      <c r="Q30" s="47" t="s">
        <v>153</v>
      </c>
      <c r="R30" s="35"/>
      <c r="S30" s="36"/>
      <c r="T30" s="40">
        <f>IF(Y30="",0, 1)</f>
        <v>0</v>
      </c>
      <c r="U30" s="25">
        <v>0</v>
      </c>
      <c r="V30" s="25">
        <v>0</v>
      </c>
      <c r="W30" s="25">
        <v>0</v>
      </c>
      <c r="X30" s="25">
        <v>0</v>
      </c>
      <c r="Y30" s="41" t="str">
        <f>IF(AND($A$3=0,$F$3=0,$K$3=0,$P$3=0)," 0/-", "")</f>
        <v/>
      </c>
      <c r="AA30" s="25" t="s">
        <v>154</v>
      </c>
    </row>
    <row r="31" spans="1:27" hidden="1">
      <c r="A31" s="46">
        <v>17</v>
      </c>
      <c r="B31" s="47" t="s">
        <v>155</v>
      </c>
      <c r="C31" s="35"/>
      <c r="D31" s="36"/>
      <c r="E31" s="35"/>
      <c r="F31" s="46">
        <v>17</v>
      </c>
      <c r="G31" s="47" t="s">
        <v>155</v>
      </c>
      <c r="H31" s="35"/>
      <c r="I31" s="36"/>
      <c r="K31" s="46">
        <v>17</v>
      </c>
      <c r="L31" s="47" t="s">
        <v>155</v>
      </c>
      <c r="M31" s="35"/>
      <c r="N31" s="36"/>
      <c r="P31" s="46">
        <v>17</v>
      </c>
      <c r="Q31" s="47" t="s">
        <v>155</v>
      </c>
      <c r="R31" s="35"/>
      <c r="S31" s="36"/>
      <c r="T31" s="40">
        <f t="shared" ref="T31:T45" si="5">IF(Y31="",0, 1)</f>
        <v>0</v>
      </c>
      <c r="U31" s="25">
        <v>0</v>
      </c>
      <c r="V31" s="25">
        <v>0</v>
      </c>
      <c r="W31" s="25">
        <v>0</v>
      </c>
      <c r="X31" s="25">
        <v>1</v>
      </c>
      <c r="Y31" s="42" t="str">
        <f>IF(AND($A$3=0,$F$3=0,$K$3=0,$P$3&gt;0),$U$5&amp;$P$3&amp;$AA$32, "")</f>
        <v/>
      </c>
      <c r="AA31" s="25" t="s">
        <v>156</v>
      </c>
    </row>
    <row r="32" spans="1:27" hidden="1">
      <c r="A32" s="46">
        <v>18</v>
      </c>
      <c r="B32" s="47" t="s">
        <v>157</v>
      </c>
      <c r="C32" s="35"/>
      <c r="D32" s="36"/>
      <c r="E32" s="35"/>
      <c r="F32" s="46">
        <v>18</v>
      </c>
      <c r="G32" s="47" t="s">
        <v>157</v>
      </c>
      <c r="H32" s="35"/>
      <c r="I32" s="36"/>
      <c r="K32" s="46">
        <v>18</v>
      </c>
      <c r="L32" s="47" t="s">
        <v>157</v>
      </c>
      <c r="M32" s="35"/>
      <c r="N32" s="36"/>
      <c r="P32" s="46">
        <v>18</v>
      </c>
      <c r="Q32" s="47" t="s">
        <v>157</v>
      </c>
      <c r="R32" s="35"/>
      <c r="S32" s="36"/>
      <c r="T32" s="40">
        <f t="shared" si="5"/>
        <v>0</v>
      </c>
      <c r="U32" s="25">
        <v>0</v>
      </c>
      <c r="V32" s="25">
        <v>0</v>
      </c>
      <c r="W32" s="25">
        <v>1</v>
      </c>
      <c r="X32" s="25">
        <v>0</v>
      </c>
      <c r="Y32" s="42" t="str">
        <f>IF(AND($A$3=0,$F$3=0,$K$3&gt;0,$P$3=0),$U$4&amp;$K$3&amp;$AA$32, "")</f>
        <v/>
      </c>
      <c r="AA32" s="25" t="s">
        <v>158</v>
      </c>
    </row>
    <row r="33" spans="1:25" hidden="1">
      <c r="A33" s="46">
        <v>19</v>
      </c>
      <c r="B33" s="47" t="s">
        <v>159</v>
      </c>
      <c r="C33" s="35"/>
      <c r="D33" s="36"/>
      <c r="E33" s="35"/>
      <c r="F33" s="46">
        <v>19</v>
      </c>
      <c r="G33" s="47" t="s">
        <v>159</v>
      </c>
      <c r="H33" s="35"/>
      <c r="I33" s="36"/>
      <c r="K33" s="46">
        <v>19</v>
      </c>
      <c r="L33" s="47" t="s">
        <v>159</v>
      </c>
      <c r="M33" s="35"/>
      <c r="N33" s="36"/>
      <c r="P33" s="46">
        <v>19</v>
      </c>
      <c r="Q33" s="47" t="s">
        <v>159</v>
      </c>
      <c r="R33" s="35"/>
      <c r="S33" s="36"/>
      <c r="T33" s="40">
        <f t="shared" si="5"/>
        <v>0</v>
      </c>
      <c r="U33" s="25">
        <v>0</v>
      </c>
      <c r="V33" s="25">
        <v>0</v>
      </c>
      <c r="W33" s="25">
        <v>1</v>
      </c>
      <c r="X33" s="25">
        <v>1</v>
      </c>
      <c r="Y33" s="42" t="str">
        <f>IF(AND($A$3=0,$F$3=0,$K$3&gt;0,$P$3&gt;0),$U$4&amp;$K$3&amp;$AA$31&amp;$U$5&amp;$P$3&amp;$AA$32, "")</f>
        <v/>
      </c>
    </row>
    <row r="34" spans="1:25" hidden="1">
      <c r="A34" s="46">
        <v>20</v>
      </c>
      <c r="B34" s="47" t="s">
        <v>160</v>
      </c>
      <c r="C34" s="35"/>
      <c r="D34" s="36"/>
      <c r="E34" s="35"/>
      <c r="F34" s="46">
        <v>20</v>
      </c>
      <c r="G34" s="47" t="s">
        <v>160</v>
      </c>
      <c r="H34" s="35"/>
      <c r="I34" s="36"/>
      <c r="K34" s="46">
        <v>20</v>
      </c>
      <c r="L34" s="47" t="s">
        <v>160</v>
      </c>
      <c r="M34" s="35"/>
      <c r="N34" s="36"/>
      <c r="P34" s="46">
        <v>20</v>
      </c>
      <c r="Q34" s="47" t="s">
        <v>160</v>
      </c>
      <c r="R34" s="35"/>
      <c r="S34" s="36"/>
      <c r="T34" s="40">
        <f t="shared" si="5"/>
        <v>0</v>
      </c>
      <c r="U34" s="25">
        <v>0</v>
      </c>
      <c r="V34" s="25">
        <v>1</v>
      </c>
      <c r="W34" s="25">
        <v>0</v>
      </c>
      <c r="X34" s="25">
        <v>0</v>
      </c>
      <c r="Y34" s="42" t="str">
        <f>IF(AND($A$3=0,$F$3&gt;0,$K$3=0,$P$3=0),$U$3&amp;$F$3&amp;$AA$32, "")</f>
        <v/>
      </c>
    </row>
    <row r="35" spans="1:25" hidden="1">
      <c r="A35" s="46">
        <v>21</v>
      </c>
      <c r="B35" s="47" t="s">
        <v>161</v>
      </c>
      <c r="C35" s="35"/>
      <c r="D35" s="36"/>
      <c r="E35" s="35"/>
      <c r="F35" s="46">
        <v>21</v>
      </c>
      <c r="G35" s="47" t="s">
        <v>161</v>
      </c>
      <c r="H35" s="35"/>
      <c r="I35" s="36"/>
      <c r="K35" s="46">
        <v>21</v>
      </c>
      <c r="L35" s="47" t="s">
        <v>161</v>
      </c>
      <c r="M35" s="35"/>
      <c r="N35" s="36"/>
      <c r="P35" s="46">
        <v>21</v>
      </c>
      <c r="Q35" s="47" t="s">
        <v>161</v>
      </c>
      <c r="R35" s="35"/>
      <c r="S35" s="36"/>
      <c r="T35" s="40">
        <f t="shared" si="5"/>
        <v>0</v>
      </c>
      <c r="U35" s="25">
        <v>0</v>
      </c>
      <c r="V35" s="25">
        <v>1</v>
      </c>
      <c r="W35" s="25">
        <v>0</v>
      </c>
      <c r="X35" s="25">
        <v>1</v>
      </c>
      <c r="Y35" s="42" t="str">
        <f>IF(AND($A$3=0,$F$3&gt;0,$K$3=0,$P$3&gt;0),$U$3&amp;$F$3&amp;$AA$31&amp;$U$5&amp;$P$3&amp;$AA$32, "")</f>
        <v/>
      </c>
    </row>
    <row r="36" spans="1:25" hidden="1">
      <c r="A36" s="46">
        <v>22</v>
      </c>
      <c r="B36" s="47" t="s">
        <v>162</v>
      </c>
      <c r="C36" s="35"/>
      <c r="D36" s="36"/>
      <c r="E36" s="35"/>
      <c r="F36" s="46">
        <v>22</v>
      </c>
      <c r="G36" s="47" t="s">
        <v>162</v>
      </c>
      <c r="H36" s="35"/>
      <c r="I36" s="36"/>
      <c r="K36" s="46">
        <v>22</v>
      </c>
      <c r="L36" s="47" t="s">
        <v>162</v>
      </c>
      <c r="M36" s="35"/>
      <c r="N36" s="36"/>
      <c r="P36" s="46">
        <v>22</v>
      </c>
      <c r="Q36" s="47" t="s">
        <v>162</v>
      </c>
      <c r="R36" s="35"/>
      <c r="S36" s="36"/>
      <c r="T36" s="40">
        <f t="shared" si="5"/>
        <v>0</v>
      </c>
      <c r="U36" s="25">
        <v>0</v>
      </c>
      <c r="V36" s="25">
        <v>1</v>
      </c>
      <c r="W36" s="25">
        <v>1</v>
      </c>
      <c r="X36" s="25">
        <v>0</v>
      </c>
      <c r="Y36" s="42" t="str">
        <f>IF(AND($A$3=0,$F$3&gt;0,$K$3&gt;0,$P$3=0),$U$3&amp;$F$3&amp;$AA$31&amp;$U$4&amp;$K$3, "")</f>
        <v/>
      </c>
    </row>
    <row r="37" spans="1:25" hidden="1">
      <c r="A37" s="46">
        <v>23</v>
      </c>
      <c r="B37" s="47" t="s">
        <v>163</v>
      </c>
      <c r="C37" s="35"/>
      <c r="D37" s="36"/>
      <c r="E37" s="35"/>
      <c r="F37" s="46">
        <v>23</v>
      </c>
      <c r="G37" s="47" t="s">
        <v>163</v>
      </c>
      <c r="H37" s="35"/>
      <c r="I37" s="36"/>
      <c r="K37" s="46">
        <v>23</v>
      </c>
      <c r="L37" s="47" t="s">
        <v>163</v>
      </c>
      <c r="M37" s="35"/>
      <c r="N37" s="36"/>
      <c r="P37" s="46">
        <v>23</v>
      </c>
      <c r="Q37" s="47" t="s">
        <v>163</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164</v>
      </c>
      <c r="C38" s="35"/>
      <c r="D38" s="36"/>
      <c r="E38" s="35"/>
      <c r="F38" s="46">
        <v>24</v>
      </c>
      <c r="G38" s="47" t="s">
        <v>164</v>
      </c>
      <c r="H38" s="35"/>
      <c r="I38" s="36"/>
      <c r="K38" s="46">
        <v>24</v>
      </c>
      <c r="L38" s="47" t="s">
        <v>164</v>
      </c>
      <c r="M38" s="35"/>
      <c r="N38" s="36"/>
      <c r="P38" s="46">
        <v>24</v>
      </c>
      <c r="Q38" s="47" t="s">
        <v>164</v>
      </c>
      <c r="R38" s="35"/>
      <c r="S38" s="36"/>
      <c r="T38" s="40">
        <f t="shared" si="5"/>
        <v>0</v>
      </c>
      <c r="U38" s="25">
        <v>1</v>
      </c>
      <c r="V38" s="25">
        <v>0</v>
      </c>
      <c r="W38" s="25">
        <v>0</v>
      </c>
      <c r="X38" s="25">
        <v>0</v>
      </c>
      <c r="Y38" s="41" t="str">
        <f>IF(AND($A$3&gt;0,$F$3=0,$K$3=0,$P$3=0), $U$2&amp;$A$3&amp;$AA$32, "")</f>
        <v/>
      </c>
    </row>
    <row r="39" spans="1:25" hidden="1">
      <c r="A39" s="46">
        <v>25</v>
      </c>
      <c r="B39" s="47" t="s">
        <v>165</v>
      </c>
      <c r="C39" s="35"/>
      <c r="D39" s="36"/>
      <c r="E39" s="35"/>
      <c r="F39" s="46">
        <v>25</v>
      </c>
      <c r="G39" s="47" t="s">
        <v>165</v>
      </c>
      <c r="H39" s="35"/>
      <c r="I39" s="36"/>
      <c r="K39" s="46">
        <v>25</v>
      </c>
      <c r="L39" s="47" t="s">
        <v>165</v>
      </c>
      <c r="M39" s="35"/>
      <c r="N39" s="36"/>
      <c r="P39" s="46">
        <v>25</v>
      </c>
      <c r="Q39" s="47" t="s">
        <v>165</v>
      </c>
      <c r="R39" s="35"/>
      <c r="S39" s="36"/>
      <c r="T39" s="40">
        <f t="shared" si="5"/>
        <v>0</v>
      </c>
      <c r="U39" s="25">
        <v>1</v>
      </c>
      <c r="V39" s="25">
        <v>0</v>
      </c>
      <c r="W39" s="25">
        <v>0</v>
      </c>
      <c r="X39" s="25">
        <v>1</v>
      </c>
      <c r="Y39" s="42" t="str">
        <f>IF(AND($A$3&gt;0,$F$3=0,$K$3=0,$P$3&gt;0),$U$2&amp;$A$3&amp;$AA$31&amp;$U$5&amp;$P$3&amp;$AA$32, "")</f>
        <v/>
      </c>
    </row>
    <row r="40" spans="1:25" hidden="1">
      <c r="A40" s="46">
        <v>26</v>
      </c>
      <c r="B40" s="47" t="s">
        <v>166</v>
      </c>
      <c r="C40" s="35"/>
      <c r="D40" s="36"/>
      <c r="E40" s="35"/>
      <c r="F40" s="46">
        <v>26</v>
      </c>
      <c r="G40" s="47" t="s">
        <v>166</v>
      </c>
      <c r="H40" s="35"/>
      <c r="I40" s="36"/>
      <c r="K40" s="46">
        <v>26</v>
      </c>
      <c r="L40" s="47" t="s">
        <v>166</v>
      </c>
      <c r="M40" s="35"/>
      <c r="N40" s="36"/>
      <c r="P40" s="46">
        <v>26</v>
      </c>
      <c r="Q40" s="47" t="s">
        <v>166</v>
      </c>
      <c r="R40" s="35"/>
      <c r="S40" s="36"/>
      <c r="T40" s="40">
        <f t="shared" si="5"/>
        <v>0</v>
      </c>
      <c r="U40" s="25">
        <v>1</v>
      </c>
      <c r="V40" s="25">
        <v>0</v>
      </c>
      <c r="W40" s="25">
        <v>1</v>
      </c>
      <c r="X40" s="25">
        <v>0</v>
      </c>
      <c r="Y40" s="42" t="str">
        <f>IF(AND($A$3&gt;0,$F$3=0,$K$3&gt;0,$P$3=0),$U$2&amp;$A$3&amp;$AA$31&amp;$U$4&amp;$K$3, "")</f>
        <v/>
      </c>
    </row>
    <row r="41" spans="1:25" hidden="1">
      <c r="A41" s="46">
        <v>27</v>
      </c>
      <c r="B41" s="47" t="s">
        <v>167</v>
      </c>
      <c r="C41" s="35"/>
      <c r="D41" s="36"/>
      <c r="E41" s="35"/>
      <c r="F41" s="46">
        <v>27</v>
      </c>
      <c r="G41" s="47" t="s">
        <v>167</v>
      </c>
      <c r="H41" s="35"/>
      <c r="I41" s="36"/>
      <c r="K41" s="46">
        <v>27</v>
      </c>
      <c r="L41" s="47" t="s">
        <v>167</v>
      </c>
      <c r="M41" s="35"/>
      <c r="N41" s="36"/>
      <c r="P41" s="46">
        <v>27</v>
      </c>
      <c r="Q41" s="47" t="s">
        <v>167</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168</v>
      </c>
      <c r="C42" s="35"/>
      <c r="D42" s="36"/>
      <c r="E42" s="35"/>
      <c r="F42" s="46">
        <v>28</v>
      </c>
      <c r="G42" s="47" t="s">
        <v>168</v>
      </c>
      <c r="H42" s="35"/>
      <c r="I42" s="36"/>
      <c r="K42" s="46">
        <v>28</v>
      </c>
      <c r="L42" s="47" t="s">
        <v>168</v>
      </c>
      <c r="M42" s="35"/>
      <c r="N42" s="36"/>
      <c r="P42" s="46">
        <v>28</v>
      </c>
      <c r="Q42" s="47" t="s">
        <v>168</v>
      </c>
      <c r="R42" s="35"/>
      <c r="S42" s="36"/>
      <c r="T42" s="40">
        <f t="shared" si="5"/>
        <v>0</v>
      </c>
      <c r="U42" s="25">
        <v>1</v>
      </c>
      <c r="V42" s="25">
        <v>1</v>
      </c>
      <c r="W42" s="25">
        <v>0</v>
      </c>
      <c r="X42" s="25">
        <v>0</v>
      </c>
      <c r="Y42" s="42" t="str">
        <f>IF(AND($A$3&gt;0,$F$3&gt;0,$K$3=0,$P$3=0),$U$2&amp;$A$3&amp;$AA$31&amp;$U$3&amp;$F$3, "")</f>
        <v/>
      </c>
    </row>
    <row r="43" spans="1:25" hidden="1">
      <c r="A43" s="46">
        <v>29</v>
      </c>
      <c r="B43" s="47" t="s">
        <v>169</v>
      </c>
      <c r="C43" s="35"/>
      <c r="D43" s="36"/>
      <c r="E43" s="35"/>
      <c r="F43" s="46">
        <v>29</v>
      </c>
      <c r="G43" s="47" t="s">
        <v>169</v>
      </c>
      <c r="H43" s="35"/>
      <c r="I43" s="36"/>
      <c r="K43" s="46">
        <v>29</v>
      </c>
      <c r="L43" s="47" t="s">
        <v>169</v>
      </c>
      <c r="M43" s="35"/>
      <c r="N43" s="36"/>
      <c r="P43" s="46">
        <v>29</v>
      </c>
      <c r="Q43" s="47" t="s">
        <v>169</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170</v>
      </c>
      <c r="C44" s="35"/>
      <c r="D44" s="36"/>
      <c r="E44" s="35"/>
      <c r="F44" s="46">
        <v>30</v>
      </c>
      <c r="G44" s="47" t="s">
        <v>170</v>
      </c>
      <c r="H44" s="35"/>
      <c r="I44" s="36"/>
      <c r="K44" s="46">
        <v>30</v>
      </c>
      <c r="L44" s="47" t="s">
        <v>170</v>
      </c>
      <c r="M44" s="35"/>
      <c r="N44" s="36"/>
      <c r="P44" s="46">
        <v>30</v>
      </c>
      <c r="Q44" s="47" t="s">
        <v>170</v>
      </c>
      <c r="R44" s="35"/>
      <c r="S44" s="36"/>
      <c r="T44" s="40">
        <f t="shared" si="5"/>
        <v>0</v>
      </c>
      <c r="U44" s="25">
        <v>1</v>
      </c>
      <c r="V44" s="25">
        <v>1</v>
      </c>
      <c r="W44" s="25">
        <v>1</v>
      </c>
      <c r="X44" s="25">
        <v>0</v>
      </c>
      <c r="Y44" s="42" t="str">
        <f>IF(AND($A$3&gt;0,$F$3&gt;0,$K$3&gt;0,$P$3=0),$U$2&amp;$A$3&amp;$AA$31&amp;$U$3&amp;$F$3&amp;$AA$31&amp;$U$4&amp;$K$3, "")</f>
        <v/>
      </c>
    </row>
    <row r="45" spans="1:25" hidden="1">
      <c r="A45" s="46">
        <v>31</v>
      </c>
      <c r="B45" s="47" t="s">
        <v>171</v>
      </c>
      <c r="C45" s="35"/>
      <c r="D45" s="36"/>
      <c r="E45" s="35"/>
      <c r="F45" s="46">
        <v>31</v>
      </c>
      <c r="G45" s="47" t="s">
        <v>171</v>
      </c>
      <c r="H45" s="35"/>
      <c r="I45" s="36"/>
      <c r="K45" s="46">
        <v>31</v>
      </c>
      <c r="L45" s="47" t="s">
        <v>171</v>
      </c>
      <c r="M45" s="35"/>
      <c r="N45" s="36"/>
      <c r="P45" s="46">
        <v>31</v>
      </c>
      <c r="Q45" s="47" t="s">
        <v>171</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172</v>
      </c>
      <c r="C46" s="35"/>
      <c r="D46" s="36"/>
      <c r="E46" s="35"/>
      <c r="F46" s="46">
        <v>32</v>
      </c>
      <c r="G46" s="47" t="s">
        <v>172</v>
      </c>
      <c r="H46" s="35"/>
      <c r="I46" s="36"/>
      <c r="K46" s="46">
        <v>32</v>
      </c>
      <c r="L46" s="47" t="s">
        <v>172</v>
      </c>
      <c r="M46" s="35"/>
      <c r="N46" s="36"/>
      <c r="P46" s="46">
        <v>32</v>
      </c>
      <c r="Q46" s="47" t="s">
        <v>172</v>
      </c>
      <c r="R46" s="35"/>
      <c r="S46" s="36"/>
    </row>
    <row r="47" spans="1:25" hidden="1">
      <c r="A47" s="46">
        <v>33</v>
      </c>
      <c r="B47" s="47" t="s">
        <v>173</v>
      </c>
      <c r="C47" s="35"/>
      <c r="D47" s="36"/>
      <c r="E47" s="35"/>
      <c r="F47" s="46">
        <v>33</v>
      </c>
      <c r="G47" s="47" t="s">
        <v>173</v>
      </c>
      <c r="H47" s="35"/>
      <c r="I47" s="36"/>
      <c r="K47" s="46">
        <v>33</v>
      </c>
      <c r="L47" s="47" t="s">
        <v>173</v>
      </c>
      <c r="M47" s="35"/>
      <c r="N47" s="36"/>
      <c r="P47" s="46">
        <v>33</v>
      </c>
      <c r="Q47" s="47" t="s">
        <v>173</v>
      </c>
      <c r="R47" s="35"/>
      <c r="S47" s="36"/>
    </row>
    <row r="48" spans="1:25" hidden="1">
      <c r="A48" s="46">
        <v>34</v>
      </c>
      <c r="B48" s="47" t="s">
        <v>174</v>
      </c>
      <c r="C48" s="35"/>
      <c r="D48" s="36"/>
      <c r="E48" s="35"/>
      <c r="F48" s="46">
        <v>34</v>
      </c>
      <c r="G48" s="47" t="s">
        <v>174</v>
      </c>
      <c r="H48" s="35"/>
      <c r="I48" s="36"/>
      <c r="K48" s="46">
        <v>34</v>
      </c>
      <c r="L48" s="47" t="s">
        <v>174</v>
      </c>
      <c r="M48" s="35"/>
      <c r="N48" s="36"/>
      <c r="P48" s="46">
        <v>34</v>
      </c>
      <c r="Q48" s="47" t="s">
        <v>174</v>
      </c>
      <c r="R48" s="35"/>
      <c r="S48" s="36"/>
    </row>
    <row r="49" spans="1:19" hidden="1">
      <c r="A49" s="46">
        <v>35</v>
      </c>
      <c r="B49" s="47" t="s">
        <v>175</v>
      </c>
      <c r="C49" s="35"/>
      <c r="D49" s="36"/>
      <c r="E49" s="35"/>
      <c r="F49" s="46">
        <v>35</v>
      </c>
      <c r="G49" s="47" t="s">
        <v>175</v>
      </c>
      <c r="H49" s="35"/>
      <c r="I49" s="36"/>
      <c r="K49" s="46">
        <v>35</v>
      </c>
      <c r="L49" s="47" t="s">
        <v>175</v>
      </c>
      <c r="M49" s="35"/>
      <c r="N49" s="36"/>
      <c r="P49" s="46">
        <v>35</v>
      </c>
      <c r="Q49" s="47" t="s">
        <v>175</v>
      </c>
      <c r="R49" s="35"/>
      <c r="S49" s="36"/>
    </row>
    <row r="50" spans="1:19" hidden="1">
      <c r="A50" s="46">
        <v>36</v>
      </c>
      <c r="B50" s="47" t="s">
        <v>176</v>
      </c>
      <c r="C50" s="35"/>
      <c r="D50" s="36"/>
      <c r="E50" s="35"/>
      <c r="F50" s="46">
        <v>36</v>
      </c>
      <c r="G50" s="47" t="s">
        <v>176</v>
      </c>
      <c r="H50" s="35"/>
      <c r="I50" s="36"/>
      <c r="K50" s="46">
        <v>36</v>
      </c>
      <c r="L50" s="47" t="s">
        <v>176</v>
      </c>
      <c r="M50" s="35"/>
      <c r="N50" s="36"/>
      <c r="P50" s="46">
        <v>36</v>
      </c>
      <c r="Q50" s="47" t="s">
        <v>176</v>
      </c>
      <c r="R50" s="35"/>
      <c r="S50" s="36"/>
    </row>
    <row r="51" spans="1:19" hidden="1">
      <c r="A51" s="46">
        <v>37</v>
      </c>
      <c r="B51" s="47" t="s">
        <v>177</v>
      </c>
      <c r="C51" s="35"/>
      <c r="D51" s="36"/>
      <c r="E51" s="35"/>
      <c r="F51" s="46">
        <v>37</v>
      </c>
      <c r="G51" s="47" t="s">
        <v>177</v>
      </c>
      <c r="H51" s="35"/>
      <c r="I51" s="36"/>
      <c r="K51" s="46">
        <v>37</v>
      </c>
      <c r="L51" s="47" t="s">
        <v>177</v>
      </c>
      <c r="M51" s="35"/>
      <c r="N51" s="36"/>
      <c r="P51" s="46">
        <v>37</v>
      </c>
      <c r="Q51" s="47" t="s">
        <v>177</v>
      </c>
      <c r="R51" s="35"/>
      <c r="S51" s="36"/>
    </row>
    <row r="52" spans="1:19" hidden="1">
      <c r="A52" s="46">
        <v>38</v>
      </c>
      <c r="B52" s="47" t="s">
        <v>178</v>
      </c>
      <c r="C52" s="35"/>
      <c r="D52" s="36"/>
      <c r="E52" s="35"/>
      <c r="F52" s="46">
        <v>38</v>
      </c>
      <c r="G52" s="47" t="s">
        <v>178</v>
      </c>
      <c r="H52" s="35"/>
      <c r="I52" s="36"/>
      <c r="K52" s="46">
        <v>38</v>
      </c>
      <c r="L52" s="47" t="s">
        <v>178</v>
      </c>
      <c r="M52" s="35"/>
      <c r="N52" s="36"/>
      <c r="P52" s="46">
        <v>38</v>
      </c>
      <c r="Q52" s="47" t="s">
        <v>178</v>
      </c>
      <c r="R52" s="35"/>
      <c r="S52" s="36"/>
    </row>
    <row r="53" spans="1:19" hidden="1">
      <c r="A53" s="46">
        <v>39</v>
      </c>
      <c r="B53" s="47" t="s">
        <v>179</v>
      </c>
      <c r="C53" s="35"/>
      <c r="D53" s="36"/>
      <c r="E53" s="35"/>
      <c r="F53" s="46">
        <v>39</v>
      </c>
      <c r="G53" s="47" t="s">
        <v>179</v>
      </c>
      <c r="H53" s="35"/>
      <c r="I53" s="36"/>
      <c r="K53" s="46">
        <v>39</v>
      </c>
      <c r="L53" s="47" t="s">
        <v>179</v>
      </c>
      <c r="M53" s="35"/>
      <c r="N53" s="36"/>
      <c r="P53" s="46">
        <v>39</v>
      </c>
      <c r="Q53" s="47" t="s">
        <v>179</v>
      </c>
      <c r="R53" s="35"/>
      <c r="S53" s="36"/>
    </row>
    <row r="54" spans="1:19" hidden="1">
      <c r="A54" s="46">
        <v>40</v>
      </c>
      <c r="B54" s="47" t="s">
        <v>180</v>
      </c>
      <c r="C54" s="35"/>
      <c r="D54" s="36"/>
      <c r="E54" s="35"/>
      <c r="F54" s="46">
        <v>40</v>
      </c>
      <c r="G54" s="47" t="s">
        <v>180</v>
      </c>
      <c r="H54" s="35"/>
      <c r="I54" s="36"/>
      <c r="K54" s="46">
        <v>40</v>
      </c>
      <c r="L54" s="47" t="s">
        <v>180</v>
      </c>
      <c r="M54" s="35"/>
      <c r="N54" s="36"/>
      <c r="P54" s="46">
        <v>40</v>
      </c>
      <c r="Q54" s="47" t="s">
        <v>180</v>
      </c>
      <c r="R54" s="35"/>
      <c r="S54" s="36"/>
    </row>
    <row r="55" spans="1:19" hidden="1">
      <c r="A55" s="46">
        <v>41</v>
      </c>
      <c r="B55" s="47" t="s">
        <v>181</v>
      </c>
      <c r="C55" s="35"/>
      <c r="D55" s="36"/>
      <c r="E55" s="35"/>
      <c r="F55" s="46">
        <v>41</v>
      </c>
      <c r="G55" s="47" t="s">
        <v>181</v>
      </c>
      <c r="H55" s="35"/>
      <c r="I55" s="36"/>
      <c r="K55" s="46">
        <v>41</v>
      </c>
      <c r="L55" s="47" t="s">
        <v>181</v>
      </c>
      <c r="M55" s="35"/>
      <c r="N55" s="36"/>
      <c r="P55" s="46">
        <v>41</v>
      </c>
      <c r="Q55" s="47" t="s">
        <v>181</v>
      </c>
      <c r="R55" s="35"/>
      <c r="S55" s="36"/>
    </row>
    <row r="56" spans="1:19" hidden="1">
      <c r="A56" s="46">
        <v>42</v>
      </c>
      <c r="B56" s="47" t="s">
        <v>182</v>
      </c>
      <c r="C56" s="35"/>
      <c r="D56" s="36"/>
      <c r="E56" s="35"/>
      <c r="F56" s="46">
        <v>42</v>
      </c>
      <c r="G56" s="47" t="s">
        <v>182</v>
      </c>
      <c r="H56" s="35"/>
      <c r="I56" s="36"/>
      <c r="K56" s="46">
        <v>42</v>
      </c>
      <c r="L56" s="47" t="s">
        <v>182</v>
      </c>
      <c r="M56" s="35"/>
      <c r="N56" s="36"/>
      <c r="P56" s="46">
        <v>42</v>
      </c>
      <c r="Q56" s="47" t="s">
        <v>182</v>
      </c>
      <c r="R56" s="35"/>
      <c r="S56" s="36"/>
    </row>
    <row r="57" spans="1:19" hidden="1">
      <c r="A57" s="46">
        <v>43</v>
      </c>
      <c r="B57" s="47" t="s">
        <v>183</v>
      </c>
      <c r="C57" s="35"/>
      <c r="D57" s="36"/>
      <c r="E57" s="35"/>
      <c r="F57" s="46">
        <v>43</v>
      </c>
      <c r="G57" s="47" t="s">
        <v>183</v>
      </c>
      <c r="H57" s="35"/>
      <c r="I57" s="36"/>
      <c r="K57" s="46">
        <v>43</v>
      </c>
      <c r="L57" s="47" t="s">
        <v>183</v>
      </c>
      <c r="M57" s="35"/>
      <c r="N57" s="36"/>
      <c r="P57" s="46">
        <v>43</v>
      </c>
      <c r="Q57" s="47" t="s">
        <v>183</v>
      </c>
      <c r="R57" s="35"/>
      <c r="S57" s="36"/>
    </row>
    <row r="58" spans="1:19" hidden="1">
      <c r="A58" s="46">
        <v>44</v>
      </c>
      <c r="B58" s="47" t="s">
        <v>184</v>
      </c>
      <c r="C58" s="35"/>
      <c r="D58" s="36"/>
      <c r="E58" s="35"/>
      <c r="F58" s="46">
        <v>44</v>
      </c>
      <c r="G58" s="47" t="s">
        <v>184</v>
      </c>
      <c r="H58" s="35"/>
      <c r="I58" s="36"/>
      <c r="K58" s="46">
        <v>44</v>
      </c>
      <c r="L58" s="47" t="s">
        <v>184</v>
      </c>
      <c r="M58" s="35"/>
      <c r="N58" s="36"/>
      <c r="P58" s="46">
        <v>44</v>
      </c>
      <c r="Q58" s="47" t="s">
        <v>184</v>
      </c>
      <c r="R58" s="35"/>
      <c r="S58" s="36"/>
    </row>
    <row r="59" spans="1:19" hidden="1">
      <c r="A59" s="46">
        <v>45</v>
      </c>
      <c r="B59" s="47" t="s">
        <v>185</v>
      </c>
      <c r="C59" s="35"/>
      <c r="D59" s="36"/>
      <c r="E59" s="35"/>
      <c r="F59" s="46">
        <v>45</v>
      </c>
      <c r="G59" s="47" t="s">
        <v>185</v>
      </c>
      <c r="H59" s="35"/>
      <c r="I59" s="36"/>
      <c r="K59" s="46">
        <v>45</v>
      </c>
      <c r="L59" s="47" t="s">
        <v>185</v>
      </c>
      <c r="M59" s="35"/>
      <c r="N59" s="36"/>
      <c r="P59" s="46">
        <v>45</v>
      </c>
      <c r="Q59" s="47" t="s">
        <v>185</v>
      </c>
      <c r="R59" s="35"/>
      <c r="S59" s="36"/>
    </row>
    <row r="60" spans="1:19" hidden="1">
      <c r="A60" s="46">
        <v>46</v>
      </c>
      <c r="B60" s="47" t="s">
        <v>186</v>
      </c>
      <c r="C60" s="35"/>
      <c r="D60" s="36"/>
      <c r="E60" s="35"/>
      <c r="F60" s="46">
        <v>46</v>
      </c>
      <c r="G60" s="47" t="s">
        <v>186</v>
      </c>
      <c r="H60" s="35"/>
      <c r="I60" s="36"/>
      <c r="K60" s="46">
        <v>46</v>
      </c>
      <c r="L60" s="47" t="s">
        <v>186</v>
      </c>
      <c r="M60" s="35"/>
      <c r="N60" s="36"/>
      <c r="P60" s="46">
        <v>46</v>
      </c>
      <c r="Q60" s="47" t="s">
        <v>186</v>
      </c>
      <c r="R60" s="35"/>
      <c r="S60" s="36"/>
    </row>
    <row r="61" spans="1:19" hidden="1">
      <c r="A61" s="46">
        <v>47</v>
      </c>
      <c r="B61" s="47" t="s">
        <v>187</v>
      </c>
      <c r="C61" s="35"/>
      <c r="D61" s="36"/>
      <c r="E61" s="35"/>
      <c r="F61" s="46">
        <v>47</v>
      </c>
      <c r="G61" s="47" t="s">
        <v>187</v>
      </c>
      <c r="H61" s="35"/>
      <c r="I61" s="36"/>
      <c r="K61" s="46">
        <v>47</v>
      </c>
      <c r="L61" s="47" t="s">
        <v>187</v>
      </c>
      <c r="M61" s="35"/>
      <c r="N61" s="36"/>
      <c r="P61" s="46">
        <v>47</v>
      </c>
      <c r="Q61" s="47" t="s">
        <v>187</v>
      </c>
      <c r="R61" s="35"/>
      <c r="S61" s="36"/>
    </row>
    <row r="62" spans="1:19" hidden="1">
      <c r="A62" s="46">
        <v>48</v>
      </c>
      <c r="B62" s="47" t="s">
        <v>188</v>
      </c>
      <c r="C62" s="35"/>
      <c r="D62" s="36"/>
      <c r="E62" s="35"/>
      <c r="F62" s="46">
        <v>48</v>
      </c>
      <c r="G62" s="47" t="s">
        <v>188</v>
      </c>
      <c r="H62" s="35"/>
      <c r="I62" s="36"/>
      <c r="K62" s="46">
        <v>48</v>
      </c>
      <c r="L62" s="47" t="s">
        <v>188</v>
      </c>
      <c r="M62" s="35"/>
      <c r="N62" s="36"/>
      <c r="P62" s="46">
        <v>48</v>
      </c>
      <c r="Q62" s="47" t="s">
        <v>188</v>
      </c>
      <c r="R62" s="35"/>
      <c r="S62" s="36"/>
    </row>
    <row r="63" spans="1:19" hidden="1">
      <c r="A63" s="46">
        <v>49</v>
      </c>
      <c r="B63" s="47" t="s">
        <v>189</v>
      </c>
      <c r="C63" s="35"/>
      <c r="D63" s="36"/>
      <c r="E63" s="35"/>
      <c r="F63" s="46">
        <v>49</v>
      </c>
      <c r="G63" s="47" t="s">
        <v>189</v>
      </c>
      <c r="H63" s="35"/>
      <c r="I63" s="36"/>
      <c r="K63" s="46">
        <v>49</v>
      </c>
      <c r="L63" s="47" t="s">
        <v>189</v>
      </c>
      <c r="M63" s="35"/>
      <c r="N63" s="36"/>
      <c r="P63" s="46">
        <v>49</v>
      </c>
      <c r="Q63" s="47" t="s">
        <v>189</v>
      </c>
      <c r="R63" s="35"/>
      <c r="S63" s="36"/>
    </row>
    <row r="64" spans="1:19" hidden="1">
      <c r="A64" s="46">
        <v>50</v>
      </c>
      <c r="B64" s="47" t="s">
        <v>190</v>
      </c>
      <c r="C64" s="35"/>
      <c r="D64" s="36"/>
      <c r="E64" s="35"/>
      <c r="F64" s="46">
        <v>50</v>
      </c>
      <c r="G64" s="47" t="s">
        <v>190</v>
      </c>
      <c r="H64" s="35"/>
      <c r="I64" s="36"/>
      <c r="K64" s="46">
        <v>50</v>
      </c>
      <c r="L64" s="47" t="s">
        <v>190</v>
      </c>
      <c r="M64" s="35"/>
      <c r="N64" s="36"/>
      <c r="P64" s="46">
        <v>50</v>
      </c>
      <c r="Q64" s="47" t="s">
        <v>190</v>
      </c>
      <c r="R64" s="35"/>
      <c r="S64" s="36"/>
    </row>
    <row r="65" spans="1:19" hidden="1">
      <c r="A65" s="46">
        <v>51</v>
      </c>
      <c r="B65" s="47" t="s">
        <v>191</v>
      </c>
      <c r="C65" s="35"/>
      <c r="D65" s="36"/>
      <c r="E65" s="35"/>
      <c r="F65" s="46">
        <v>51</v>
      </c>
      <c r="G65" s="47" t="s">
        <v>191</v>
      </c>
      <c r="H65" s="35"/>
      <c r="I65" s="36"/>
      <c r="K65" s="46">
        <v>51</v>
      </c>
      <c r="L65" s="47" t="s">
        <v>191</v>
      </c>
      <c r="M65" s="35"/>
      <c r="N65" s="36"/>
      <c r="P65" s="46">
        <v>51</v>
      </c>
      <c r="Q65" s="47" t="s">
        <v>191</v>
      </c>
      <c r="R65" s="35"/>
      <c r="S65" s="36"/>
    </row>
    <row r="66" spans="1:19" hidden="1">
      <c r="A66" s="46">
        <v>52</v>
      </c>
      <c r="B66" s="47" t="s">
        <v>192</v>
      </c>
      <c r="C66" s="35"/>
      <c r="D66" s="36"/>
      <c r="E66" s="35"/>
      <c r="F66" s="46">
        <v>52</v>
      </c>
      <c r="G66" s="47" t="s">
        <v>192</v>
      </c>
      <c r="H66" s="35"/>
      <c r="I66" s="36"/>
      <c r="K66" s="46">
        <v>52</v>
      </c>
      <c r="L66" s="47" t="s">
        <v>192</v>
      </c>
      <c r="M66" s="35"/>
      <c r="N66" s="36"/>
      <c r="P66" s="46">
        <v>52</v>
      </c>
      <c r="Q66" s="47" t="s">
        <v>192</v>
      </c>
      <c r="R66" s="35"/>
      <c r="S66" s="36"/>
    </row>
    <row r="67" spans="1:19" hidden="1">
      <c r="A67" s="46">
        <v>53</v>
      </c>
      <c r="B67" s="47" t="s">
        <v>193</v>
      </c>
      <c r="C67" s="35"/>
      <c r="D67" s="36"/>
      <c r="E67" s="35"/>
      <c r="F67" s="46">
        <v>53</v>
      </c>
      <c r="G67" s="47" t="s">
        <v>193</v>
      </c>
      <c r="H67" s="35"/>
      <c r="I67" s="36"/>
      <c r="K67" s="46">
        <v>53</v>
      </c>
      <c r="L67" s="47" t="s">
        <v>193</v>
      </c>
      <c r="M67" s="35"/>
      <c r="N67" s="36"/>
      <c r="P67" s="46">
        <v>53</v>
      </c>
      <c r="Q67" s="47" t="s">
        <v>193</v>
      </c>
      <c r="R67" s="35"/>
      <c r="S67" s="36"/>
    </row>
    <row r="68" spans="1:19" hidden="1">
      <c r="A68" s="46">
        <v>54</v>
      </c>
      <c r="B68" s="47" t="s">
        <v>194</v>
      </c>
      <c r="C68" s="35"/>
      <c r="D68" s="36"/>
      <c r="E68" s="35"/>
      <c r="F68" s="46">
        <v>54</v>
      </c>
      <c r="G68" s="47" t="s">
        <v>194</v>
      </c>
      <c r="H68" s="35"/>
      <c r="I68" s="36"/>
      <c r="K68" s="46">
        <v>54</v>
      </c>
      <c r="L68" s="47" t="s">
        <v>194</v>
      </c>
      <c r="M68" s="35"/>
      <c r="N68" s="36"/>
      <c r="P68" s="46">
        <v>54</v>
      </c>
      <c r="Q68" s="47" t="s">
        <v>194</v>
      </c>
      <c r="R68" s="35"/>
      <c r="S68" s="36"/>
    </row>
    <row r="69" spans="1:19" hidden="1">
      <c r="A69" s="46">
        <v>55</v>
      </c>
      <c r="B69" s="47" t="s">
        <v>195</v>
      </c>
      <c r="C69" s="35"/>
      <c r="D69" s="36"/>
      <c r="E69" s="35"/>
      <c r="F69" s="46">
        <v>55</v>
      </c>
      <c r="G69" s="47" t="s">
        <v>195</v>
      </c>
      <c r="H69" s="35"/>
      <c r="I69" s="36"/>
      <c r="K69" s="46">
        <v>55</v>
      </c>
      <c r="L69" s="47" t="s">
        <v>195</v>
      </c>
      <c r="M69" s="35"/>
      <c r="N69" s="36"/>
      <c r="P69" s="46">
        <v>55</v>
      </c>
      <c r="Q69" s="47" t="s">
        <v>195</v>
      </c>
      <c r="R69" s="35"/>
      <c r="S69" s="36"/>
    </row>
    <row r="70" spans="1:19" hidden="1">
      <c r="A70" s="46">
        <v>56</v>
      </c>
      <c r="B70" s="47" t="s">
        <v>196</v>
      </c>
      <c r="C70" s="35"/>
      <c r="D70" s="36"/>
      <c r="E70" s="35"/>
      <c r="F70" s="46">
        <v>56</v>
      </c>
      <c r="G70" s="47" t="s">
        <v>196</v>
      </c>
      <c r="H70" s="35"/>
      <c r="I70" s="36"/>
      <c r="K70" s="46">
        <v>56</v>
      </c>
      <c r="L70" s="47" t="s">
        <v>196</v>
      </c>
      <c r="M70" s="35"/>
      <c r="N70" s="36"/>
      <c r="P70" s="46">
        <v>56</v>
      </c>
      <c r="Q70" s="47" t="s">
        <v>196</v>
      </c>
      <c r="R70" s="35"/>
      <c r="S70" s="36"/>
    </row>
    <row r="71" spans="1:19" hidden="1">
      <c r="A71" s="46">
        <v>57</v>
      </c>
      <c r="B71" s="47" t="s">
        <v>197</v>
      </c>
      <c r="C71" s="35"/>
      <c r="D71" s="36"/>
      <c r="E71" s="35"/>
      <c r="F71" s="46">
        <v>57</v>
      </c>
      <c r="G71" s="47" t="s">
        <v>197</v>
      </c>
      <c r="H71" s="35"/>
      <c r="I71" s="36"/>
      <c r="K71" s="46">
        <v>57</v>
      </c>
      <c r="L71" s="47" t="s">
        <v>197</v>
      </c>
      <c r="M71" s="35"/>
      <c r="N71" s="36"/>
      <c r="P71" s="46">
        <v>57</v>
      </c>
      <c r="Q71" s="47" t="s">
        <v>197</v>
      </c>
      <c r="R71" s="35"/>
      <c r="S71" s="36"/>
    </row>
    <row r="72" spans="1:19" hidden="1">
      <c r="A72" s="46">
        <v>58</v>
      </c>
      <c r="B72" s="47" t="s">
        <v>198</v>
      </c>
      <c r="C72" s="35"/>
      <c r="D72" s="36"/>
      <c r="E72" s="35"/>
      <c r="F72" s="46">
        <v>58</v>
      </c>
      <c r="G72" s="47" t="s">
        <v>198</v>
      </c>
      <c r="H72" s="35"/>
      <c r="I72" s="36"/>
      <c r="K72" s="46">
        <v>58</v>
      </c>
      <c r="L72" s="47" t="s">
        <v>198</v>
      </c>
      <c r="M72" s="35"/>
      <c r="N72" s="36"/>
      <c r="P72" s="46">
        <v>58</v>
      </c>
      <c r="Q72" s="47" t="s">
        <v>198</v>
      </c>
      <c r="R72" s="35"/>
      <c r="S72" s="36"/>
    </row>
    <row r="73" spans="1:19" hidden="1">
      <c r="A73" s="46">
        <v>59</v>
      </c>
      <c r="B73" s="47" t="s">
        <v>199</v>
      </c>
      <c r="C73" s="35"/>
      <c r="D73" s="36"/>
      <c r="E73" s="35"/>
      <c r="F73" s="46">
        <v>59</v>
      </c>
      <c r="G73" s="47" t="s">
        <v>199</v>
      </c>
      <c r="H73" s="35"/>
      <c r="I73" s="36"/>
      <c r="K73" s="46">
        <v>59</v>
      </c>
      <c r="L73" s="47" t="s">
        <v>199</v>
      </c>
      <c r="M73" s="35"/>
      <c r="N73" s="36"/>
      <c r="P73" s="46">
        <v>59</v>
      </c>
      <c r="Q73" s="47" t="s">
        <v>199</v>
      </c>
      <c r="R73" s="35"/>
      <c r="S73" s="36"/>
    </row>
    <row r="74" spans="1:19" hidden="1">
      <c r="A74" s="46">
        <v>60</v>
      </c>
      <c r="B74" s="47" t="s">
        <v>200</v>
      </c>
      <c r="C74" s="35"/>
      <c r="D74" s="36"/>
      <c r="E74" s="35"/>
      <c r="F74" s="46">
        <v>60</v>
      </c>
      <c r="G74" s="47" t="s">
        <v>200</v>
      </c>
      <c r="H74" s="35"/>
      <c r="I74" s="36"/>
      <c r="K74" s="46">
        <v>60</v>
      </c>
      <c r="L74" s="47" t="s">
        <v>200</v>
      </c>
      <c r="M74" s="35"/>
      <c r="N74" s="36"/>
      <c r="P74" s="46">
        <v>60</v>
      </c>
      <c r="Q74" s="47" t="s">
        <v>200</v>
      </c>
      <c r="R74" s="35"/>
      <c r="S74" s="36"/>
    </row>
    <row r="75" spans="1:19" hidden="1">
      <c r="A75" s="46">
        <v>61</v>
      </c>
      <c r="B75" s="47" t="s">
        <v>201</v>
      </c>
      <c r="C75" s="35"/>
      <c r="D75" s="36"/>
      <c r="E75" s="35"/>
      <c r="F75" s="46">
        <v>61</v>
      </c>
      <c r="G75" s="47" t="s">
        <v>201</v>
      </c>
      <c r="H75" s="35"/>
      <c r="I75" s="36"/>
      <c r="K75" s="46">
        <v>61</v>
      </c>
      <c r="L75" s="47" t="s">
        <v>201</v>
      </c>
      <c r="M75" s="35"/>
      <c r="N75" s="36"/>
      <c r="P75" s="46">
        <v>61</v>
      </c>
      <c r="Q75" s="47" t="s">
        <v>201</v>
      </c>
      <c r="R75" s="35"/>
      <c r="S75" s="36"/>
    </row>
    <row r="76" spans="1:19" hidden="1">
      <c r="A76" s="46">
        <v>62</v>
      </c>
      <c r="B76" s="47" t="s">
        <v>202</v>
      </c>
      <c r="C76" s="35"/>
      <c r="D76" s="36"/>
      <c r="E76" s="35"/>
      <c r="F76" s="46">
        <v>62</v>
      </c>
      <c r="G76" s="47" t="s">
        <v>202</v>
      </c>
      <c r="H76" s="35"/>
      <c r="I76" s="36"/>
      <c r="K76" s="46">
        <v>62</v>
      </c>
      <c r="L76" s="47" t="s">
        <v>202</v>
      </c>
      <c r="M76" s="35"/>
      <c r="N76" s="36"/>
      <c r="P76" s="46">
        <v>62</v>
      </c>
      <c r="Q76" s="47" t="s">
        <v>202</v>
      </c>
      <c r="R76" s="35"/>
      <c r="S76" s="36"/>
    </row>
    <row r="77" spans="1:19" hidden="1">
      <c r="A77" s="46">
        <v>63</v>
      </c>
      <c r="B77" s="47" t="s">
        <v>203</v>
      </c>
      <c r="C77" s="35"/>
      <c r="D77" s="36"/>
      <c r="E77" s="35"/>
      <c r="F77" s="46">
        <v>63</v>
      </c>
      <c r="G77" s="47" t="s">
        <v>203</v>
      </c>
      <c r="H77" s="35"/>
      <c r="I77" s="36"/>
      <c r="K77" s="46">
        <v>63</v>
      </c>
      <c r="L77" s="47" t="s">
        <v>203</v>
      </c>
      <c r="M77" s="35"/>
      <c r="N77" s="36"/>
      <c r="P77" s="46">
        <v>63</v>
      </c>
      <c r="Q77" s="47" t="s">
        <v>203</v>
      </c>
      <c r="R77" s="35"/>
      <c r="S77" s="36"/>
    </row>
    <row r="78" spans="1:19" hidden="1">
      <c r="A78" s="46">
        <v>64</v>
      </c>
      <c r="B78" s="47" t="s">
        <v>204</v>
      </c>
      <c r="C78" s="35"/>
      <c r="D78" s="36"/>
      <c r="E78" s="35"/>
      <c r="F78" s="46">
        <v>64</v>
      </c>
      <c r="G78" s="47" t="s">
        <v>204</v>
      </c>
      <c r="H78" s="35"/>
      <c r="I78" s="36"/>
      <c r="K78" s="46">
        <v>64</v>
      </c>
      <c r="L78" s="47" t="s">
        <v>204</v>
      </c>
      <c r="M78" s="35"/>
      <c r="N78" s="36"/>
      <c r="P78" s="46">
        <v>64</v>
      </c>
      <c r="Q78" s="47" t="s">
        <v>204</v>
      </c>
      <c r="R78" s="35"/>
      <c r="S78" s="36"/>
    </row>
    <row r="79" spans="1:19" hidden="1">
      <c r="A79" s="46">
        <v>65</v>
      </c>
      <c r="B79" s="47" t="s">
        <v>205</v>
      </c>
      <c r="C79" s="35"/>
      <c r="D79" s="36"/>
      <c r="E79" s="35"/>
      <c r="F79" s="46">
        <v>65</v>
      </c>
      <c r="G79" s="47" t="s">
        <v>205</v>
      </c>
      <c r="H79" s="35"/>
      <c r="I79" s="36"/>
      <c r="K79" s="46">
        <v>65</v>
      </c>
      <c r="L79" s="47" t="s">
        <v>205</v>
      </c>
      <c r="M79" s="35"/>
      <c r="N79" s="36"/>
      <c r="P79" s="46">
        <v>65</v>
      </c>
      <c r="Q79" s="47" t="s">
        <v>205</v>
      </c>
      <c r="R79" s="35"/>
      <c r="S79" s="36"/>
    </row>
    <row r="80" spans="1:19" hidden="1">
      <c r="A80" s="46">
        <v>66</v>
      </c>
      <c r="B80" s="47" t="s">
        <v>206</v>
      </c>
      <c r="C80" s="35"/>
      <c r="D80" s="36"/>
      <c r="E80" s="35"/>
      <c r="F80" s="46">
        <v>66</v>
      </c>
      <c r="G80" s="47" t="s">
        <v>206</v>
      </c>
      <c r="H80" s="35"/>
      <c r="I80" s="36"/>
      <c r="K80" s="46">
        <v>66</v>
      </c>
      <c r="L80" s="47" t="s">
        <v>206</v>
      </c>
      <c r="M80" s="35"/>
      <c r="N80" s="36"/>
      <c r="P80" s="46">
        <v>66</v>
      </c>
      <c r="Q80" s="47" t="s">
        <v>206</v>
      </c>
      <c r="R80" s="35"/>
      <c r="S80" s="36"/>
    </row>
    <row r="81" spans="1:19" hidden="1">
      <c r="A81" s="46">
        <v>67</v>
      </c>
      <c r="B81" s="47" t="s">
        <v>207</v>
      </c>
      <c r="C81" s="35"/>
      <c r="D81" s="36"/>
      <c r="E81" s="35"/>
      <c r="F81" s="46">
        <v>67</v>
      </c>
      <c r="G81" s="47" t="s">
        <v>207</v>
      </c>
      <c r="H81" s="35"/>
      <c r="I81" s="36"/>
      <c r="K81" s="46">
        <v>67</v>
      </c>
      <c r="L81" s="47" t="s">
        <v>207</v>
      </c>
      <c r="M81" s="35"/>
      <c r="N81" s="36"/>
      <c r="P81" s="46">
        <v>67</v>
      </c>
      <c r="Q81" s="47" t="s">
        <v>207</v>
      </c>
      <c r="R81" s="35"/>
      <c r="S81" s="36"/>
    </row>
    <row r="82" spans="1:19" hidden="1">
      <c r="A82" s="46">
        <v>68</v>
      </c>
      <c r="B82" s="47" t="s">
        <v>208</v>
      </c>
      <c r="C82" s="35"/>
      <c r="D82" s="36"/>
      <c r="E82" s="35"/>
      <c r="F82" s="46">
        <v>68</v>
      </c>
      <c r="G82" s="47" t="s">
        <v>208</v>
      </c>
      <c r="H82" s="35"/>
      <c r="I82" s="36"/>
      <c r="K82" s="46">
        <v>68</v>
      </c>
      <c r="L82" s="47" t="s">
        <v>208</v>
      </c>
      <c r="M82" s="35"/>
      <c r="N82" s="36"/>
      <c r="P82" s="46">
        <v>68</v>
      </c>
      <c r="Q82" s="47" t="s">
        <v>208</v>
      </c>
      <c r="R82" s="35"/>
      <c r="S82" s="36"/>
    </row>
    <row r="83" spans="1:19" hidden="1">
      <c r="A83" s="46">
        <v>69</v>
      </c>
      <c r="B83" s="47" t="s">
        <v>209</v>
      </c>
      <c r="C83" s="35"/>
      <c r="D83" s="36"/>
      <c r="E83" s="35"/>
      <c r="F83" s="46">
        <v>69</v>
      </c>
      <c r="G83" s="47" t="s">
        <v>209</v>
      </c>
      <c r="H83" s="35"/>
      <c r="I83" s="36"/>
      <c r="K83" s="46">
        <v>69</v>
      </c>
      <c r="L83" s="47" t="s">
        <v>209</v>
      </c>
      <c r="M83" s="35"/>
      <c r="N83" s="36"/>
      <c r="P83" s="46">
        <v>69</v>
      </c>
      <c r="Q83" s="47" t="s">
        <v>209</v>
      </c>
      <c r="R83" s="35"/>
      <c r="S83" s="36"/>
    </row>
    <row r="84" spans="1:19" hidden="1">
      <c r="A84" s="46">
        <v>70</v>
      </c>
      <c r="B84" s="47" t="s">
        <v>210</v>
      </c>
      <c r="C84" s="35"/>
      <c r="D84" s="36"/>
      <c r="E84" s="35"/>
      <c r="F84" s="46">
        <v>70</v>
      </c>
      <c r="G84" s="47" t="s">
        <v>210</v>
      </c>
      <c r="H84" s="35"/>
      <c r="I84" s="36"/>
      <c r="K84" s="46">
        <v>70</v>
      </c>
      <c r="L84" s="47" t="s">
        <v>210</v>
      </c>
      <c r="M84" s="35"/>
      <c r="N84" s="36"/>
      <c r="P84" s="46">
        <v>70</v>
      </c>
      <c r="Q84" s="47" t="s">
        <v>210</v>
      </c>
      <c r="R84" s="35"/>
      <c r="S84" s="36"/>
    </row>
    <row r="85" spans="1:19" hidden="1">
      <c r="A85" s="46">
        <v>71</v>
      </c>
      <c r="B85" s="47" t="s">
        <v>211</v>
      </c>
      <c r="C85" s="35"/>
      <c r="D85" s="36"/>
      <c r="E85" s="35"/>
      <c r="F85" s="46">
        <v>71</v>
      </c>
      <c r="G85" s="47" t="s">
        <v>211</v>
      </c>
      <c r="H85" s="35"/>
      <c r="I85" s="36"/>
      <c r="K85" s="46">
        <v>71</v>
      </c>
      <c r="L85" s="47" t="s">
        <v>211</v>
      </c>
      <c r="M85" s="35"/>
      <c r="N85" s="36"/>
      <c r="P85" s="46">
        <v>71</v>
      </c>
      <c r="Q85" s="47" t="s">
        <v>211</v>
      </c>
      <c r="R85" s="35"/>
      <c r="S85" s="36"/>
    </row>
    <row r="86" spans="1:19" hidden="1">
      <c r="A86" s="46">
        <v>72</v>
      </c>
      <c r="B86" s="47" t="s">
        <v>212</v>
      </c>
      <c r="C86" s="35"/>
      <c r="D86" s="36"/>
      <c r="E86" s="35"/>
      <c r="F86" s="46">
        <v>72</v>
      </c>
      <c r="G86" s="47" t="s">
        <v>212</v>
      </c>
      <c r="H86" s="35"/>
      <c r="I86" s="36"/>
      <c r="K86" s="46">
        <v>72</v>
      </c>
      <c r="L86" s="47" t="s">
        <v>212</v>
      </c>
      <c r="M86" s="35"/>
      <c r="N86" s="36"/>
      <c r="P86" s="46">
        <v>72</v>
      </c>
      <c r="Q86" s="47" t="s">
        <v>212</v>
      </c>
      <c r="R86" s="35"/>
      <c r="S86" s="36"/>
    </row>
    <row r="87" spans="1:19" hidden="1">
      <c r="A87" s="46">
        <v>73</v>
      </c>
      <c r="B87" s="47" t="s">
        <v>213</v>
      </c>
      <c r="C87" s="35"/>
      <c r="D87" s="36"/>
      <c r="E87" s="35"/>
      <c r="F87" s="46">
        <v>73</v>
      </c>
      <c r="G87" s="47" t="s">
        <v>213</v>
      </c>
      <c r="H87" s="35"/>
      <c r="I87" s="36"/>
      <c r="K87" s="46">
        <v>73</v>
      </c>
      <c r="L87" s="47" t="s">
        <v>213</v>
      </c>
      <c r="M87" s="35"/>
      <c r="N87" s="36"/>
      <c r="P87" s="46">
        <v>73</v>
      </c>
      <c r="Q87" s="47" t="s">
        <v>213</v>
      </c>
      <c r="R87" s="35"/>
      <c r="S87" s="36"/>
    </row>
    <row r="88" spans="1:19" hidden="1">
      <c r="A88" s="46">
        <v>74</v>
      </c>
      <c r="B88" s="47" t="s">
        <v>214</v>
      </c>
      <c r="C88" s="35"/>
      <c r="D88" s="36"/>
      <c r="E88" s="35"/>
      <c r="F88" s="46">
        <v>74</v>
      </c>
      <c r="G88" s="47" t="s">
        <v>214</v>
      </c>
      <c r="H88" s="35"/>
      <c r="I88" s="36"/>
      <c r="K88" s="46">
        <v>74</v>
      </c>
      <c r="L88" s="47" t="s">
        <v>214</v>
      </c>
      <c r="M88" s="35"/>
      <c r="N88" s="36"/>
      <c r="P88" s="46">
        <v>74</v>
      </c>
      <c r="Q88" s="47" t="s">
        <v>214</v>
      </c>
      <c r="R88" s="35"/>
      <c r="S88" s="36"/>
    </row>
    <row r="89" spans="1:19" hidden="1">
      <c r="A89" s="46">
        <v>75</v>
      </c>
      <c r="B89" s="47" t="s">
        <v>215</v>
      </c>
      <c r="C89" s="35"/>
      <c r="D89" s="36"/>
      <c r="E89" s="35"/>
      <c r="F89" s="46">
        <v>75</v>
      </c>
      <c r="G89" s="47" t="s">
        <v>215</v>
      </c>
      <c r="H89" s="35"/>
      <c r="I89" s="36"/>
      <c r="K89" s="46">
        <v>75</v>
      </c>
      <c r="L89" s="47" t="s">
        <v>215</v>
      </c>
      <c r="M89" s="35"/>
      <c r="N89" s="36"/>
      <c r="P89" s="46">
        <v>75</v>
      </c>
      <c r="Q89" s="47" t="s">
        <v>215</v>
      </c>
      <c r="R89" s="35"/>
      <c r="S89" s="36"/>
    </row>
    <row r="90" spans="1:19" hidden="1">
      <c r="A90" s="46">
        <v>76</v>
      </c>
      <c r="B90" s="47" t="s">
        <v>216</v>
      </c>
      <c r="C90" s="35"/>
      <c r="D90" s="36"/>
      <c r="E90" s="35"/>
      <c r="F90" s="46">
        <v>76</v>
      </c>
      <c r="G90" s="47" t="s">
        <v>216</v>
      </c>
      <c r="H90" s="35"/>
      <c r="I90" s="36"/>
      <c r="K90" s="46">
        <v>76</v>
      </c>
      <c r="L90" s="47" t="s">
        <v>216</v>
      </c>
      <c r="M90" s="35"/>
      <c r="N90" s="36"/>
      <c r="P90" s="46">
        <v>76</v>
      </c>
      <c r="Q90" s="47" t="s">
        <v>216</v>
      </c>
      <c r="R90" s="35"/>
      <c r="S90" s="36"/>
    </row>
    <row r="91" spans="1:19" hidden="1">
      <c r="A91" s="46">
        <v>77</v>
      </c>
      <c r="B91" s="47" t="s">
        <v>217</v>
      </c>
      <c r="C91" s="35"/>
      <c r="D91" s="36"/>
      <c r="E91" s="35"/>
      <c r="F91" s="46">
        <v>77</v>
      </c>
      <c r="G91" s="47" t="s">
        <v>217</v>
      </c>
      <c r="H91" s="35"/>
      <c r="I91" s="36"/>
      <c r="K91" s="46">
        <v>77</v>
      </c>
      <c r="L91" s="47" t="s">
        <v>217</v>
      </c>
      <c r="M91" s="35"/>
      <c r="N91" s="36"/>
      <c r="P91" s="46">
        <v>77</v>
      </c>
      <c r="Q91" s="47" t="s">
        <v>217</v>
      </c>
      <c r="R91" s="35"/>
      <c r="S91" s="36"/>
    </row>
    <row r="92" spans="1:19" hidden="1">
      <c r="A92" s="46">
        <v>78</v>
      </c>
      <c r="B92" s="47" t="s">
        <v>218</v>
      </c>
      <c r="C92" s="35"/>
      <c r="D92" s="36"/>
      <c r="E92" s="35"/>
      <c r="F92" s="46">
        <v>78</v>
      </c>
      <c r="G92" s="47" t="s">
        <v>218</v>
      </c>
      <c r="H92" s="35"/>
      <c r="I92" s="36"/>
      <c r="K92" s="46">
        <v>78</v>
      </c>
      <c r="L92" s="47" t="s">
        <v>218</v>
      </c>
      <c r="M92" s="35"/>
      <c r="N92" s="36"/>
      <c r="P92" s="46">
        <v>78</v>
      </c>
      <c r="Q92" s="47" t="s">
        <v>218</v>
      </c>
      <c r="R92" s="35"/>
      <c r="S92" s="36"/>
    </row>
    <row r="93" spans="1:19" hidden="1">
      <c r="A93" s="46">
        <v>79</v>
      </c>
      <c r="B93" s="47" t="s">
        <v>219</v>
      </c>
      <c r="C93" s="35"/>
      <c r="D93" s="36"/>
      <c r="E93" s="35"/>
      <c r="F93" s="46">
        <v>79</v>
      </c>
      <c r="G93" s="47" t="s">
        <v>219</v>
      </c>
      <c r="H93" s="35"/>
      <c r="I93" s="36"/>
      <c r="K93" s="46">
        <v>79</v>
      </c>
      <c r="L93" s="47" t="s">
        <v>219</v>
      </c>
      <c r="M93" s="35"/>
      <c r="N93" s="36"/>
      <c r="P93" s="46">
        <v>79</v>
      </c>
      <c r="Q93" s="47" t="s">
        <v>219</v>
      </c>
      <c r="R93" s="35"/>
      <c r="S93" s="36"/>
    </row>
    <row r="94" spans="1:19" hidden="1">
      <c r="A94" s="46">
        <v>80</v>
      </c>
      <c r="B94" s="47" t="s">
        <v>220</v>
      </c>
      <c r="C94" s="35"/>
      <c r="D94" s="36"/>
      <c r="E94" s="35"/>
      <c r="F94" s="46">
        <v>80</v>
      </c>
      <c r="G94" s="47" t="s">
        <v>220</v>
      </c>
      <c r="H94" s="35"/>
      <c r="I94" s="36"/>
      <c r="K94" s="46">
        <v>80</v>
      </c>
      <c r="L94" s="47" t="s">
        <v>220</v>
      </c>
      <c r="M94" s="35"/>
      <c r="N94" s="36"/>
      <c r="P94" s="46">
        <v>80</v>
      </c>
      <c r="Q94" s="47" t="s">
        <v>220</v>
      </c>
      <c r="R94" s="35"/>
      <c r="S94" s="36"/>
    </row>
    <row r="95" spans="1:19" hidden="1">
      <c r="A95" s="46">
        <v>81</v>
      </c>
      <c r="B95" s="47" t="s">
        <v>221</v>
      </c>
      <c r="C95" s="35"/>
      <c r="D95" s="36"/>
      <c r="E95" s="35"/>
      <c r="F95" s="46">
        <v>81</v>
      </c>
      <c r="G95" s="47" t="s">
        <v>221</v>
      </c>
      <c r="H95" s="35"/>
      <c r="I95" s="36"/>
      <c r="K95" s="46">
        <v>81</v>
      </c>
      <c r="L95" s="47" t="s">
        <v>221</v>
      </c>
      <c r="M95" s="35"/>
      <c r="N95" s="36"/>
      <c r="P95" s="46">
        <v>81</v>
      </c>
      <c r="Q95" s="47" t="s">
        <v>221</v>
      </c>
      <c r="R95" s="35"/>
      <c r="S95" s="36"/>
    </row>
    <row r="96" spans="1:19" hidden="1">
      <c r="A96" s="46">
        <v>82</v>
      </c>
      <c r="B96" s="47" t="s">
        <v>222</v>
      </c>
      <c r="C96" s="35"/>
      <c r="D96" s="36"/>
      <c r="E96" s="35"/>
      <c r="F96" s="46">
        <v>82</v>
      </c>
      <c r="G96" s="47" t="s">
        <v>222</v>
      </c>
      <c r="H96" s="35"/>
      <c r="I96" s="36"/>
      <c r="K96" s="46">
        <v>82</v>
      </c>
      <c r="L96" s="47" t="s">
        <v>222</v>
      </c>
      <c r="M96" s="35"/>
      <c r="N96" s="36"/>
      <c r="P96" s="46">
        <v>82</v>
      </c>
      <c r="Q96" s="47" t="s">
        <v>222</v>
      </c>
      <c r="R96" s="35"/>
      <c r="S96" s="36"/>
    </row>
    <row r="97" spans="1:19" hidden="1">
      <c r="A97" s="46">
        <v>83</v>
      </c>
      <c r="B97" s="47" t="s">
        <v>223</v>
      </c>
      <c r="C97" s="35"/>
      <c r="D97" s="36"/>
      <c r="E97" s="35"/>
      <c r="F97" s="46">
        <v>83</v>
      </c>
      <c r="G97" s="47" t="s">
        <v>223</v>
      </c>
      <c r="H97" s="35"/>
      <c r="I97" s="36"/>
      <c r="K97" s="46">
        <v>83</v>
      </c>
      <c r="L97" s="47" t="s">
        <v>223</v>
      </c>
      <c r="M97" s="35"/>
      <c r="N97" s="36"/>
      <c r="P97" s="46">
        <v>83</v>
      </c>
      <c r="Q97" s="47" t="s">
        <v>223</v>
      </c>
      <c r="R97" s="35"/>
      <c r="S97" s="36"/>
    </row>
    <row r="98" spans="1:19" hidden="1">
      <c r="A98" s="46">
        <v>84</v>
      </c>
      <c r="B98" s="47" t="s">
        <v>224</v>
      </c>
      <c r="C98" s="35"/>
      <c r="D98" s="36"/>
      <c r="E98" s="35"/>
      <c r="F98" s="46">
        <v>84</v>
      </c>
      <c r="G98" s="47" t="s">
        <v>224</v>
      </c>
      <c r="H98" s="35"/>
      <c r="I98" s="36"/>
      <c r="K98" s="46">
        <v>84</v>
      </c>
      <c r="L98" s="47" t="s">
        <v>224</v>
      </c>
      <c r="M98" s="35"/>
      <c r="N98" s="36"/>
      <c r="P98" s="46">
        <v>84</v>
      </c>
      <c r="Q98" s="47" t="s">
        <v>224</v>
      </c>
      <c r="R98" s="35"/>
      <c r="S98" s="36"/>
    </row>
    <row r="99" spans="1:19" hidden="1">
      <c r="A99" s="46">
        <v>85</v>
      </c>
      <c r="B99" s="47" t="s">
        <v>225</v>
      </c>
      <c r="C99" s="35"/>
      <c r="D99" s="36"/>
      <c r="E99" s="35"/>
      <c r="F99" s="46">
        <v>85</v>
      </c>
      <c r="G99" s="47" t="s">
        <v>225</v>
      </c>
      <c r="H99" s="35"/>
      <c r="I99" s="36"/>
      <c r="K99" s="46">
        <v>85</v>
      </c>
      <c r="L99" s="47" t="s">
        <v>225</v>
      </c>
      <c r="M99" s="35"/>
      <c r="N99" s="36"/>
      <c r="P99" s="46">
        <v>85</v>
      </c>
      <c r="Q99" s="47" t="s">
        <v>225</v>
      </c>
      <c r="R99" s="35"/>
      <c r="S99" s="36"/>
    </row>
    <row r="100" spans="1:19" hidden="1">
      <c r="A100" s="46">
        <v>86</v>
      </c>
      <c r="B100" s="47" t="s">
        <v>226</v>
      </c>
      <c r="C100" s="35"/>
      <c r="D100" s="36"/>
      <c r="E100" s="35"/>
      <c r="F100" s="46">
        <v>86</v>
      </c>
      <c r="G100" s="47" t="s">
        <v>226</v>
      </c>
      <c r="H100" s="35"/>
      <c r="I100" s="36"/>
      <c r="K100" s="46">
        <v>86</v>
      </c>
      <c r="L100" s="47" t="s">
        <v>226</v>
      </c>
      <c r="M100" s="35"/>
      <c r="N100" s="36"/>
      <c r="P100" s="46">
        <v>86</v>
      </c>
      <c r="Q100" s="47" t="s">
        <v>226</v>
      </c>
      <c r="R100" s="35"/>
      <c r="S100" s="36"/>
    </row>
    <row r="101" spans="1:19" hidden="1">
      <c r="A101" s="46">
        <v>87</v>
      </c>
      <c r="B101" s="47" t="s">
        <v>227</v>
      </c>
      <c r="C101" s="35"/>
      <c r="D101" s="36"/>
      <c r="E101" s="35"/>
      <c r="F101" s="46">
        <v>87</v>
      </c>
      <c r="G101" s="47" t="s">
        <v>227</v>
      </c>
      <c r="H101" s="35"/>
      <c r="I101" s="36"/>
      <c r="K101" s="46">
        <v>87</v>
      </c>
      <c r="L101" s="47" t="s">
        <v>227</v>
      </c>
      <c r="M101" s="35"/>
      <c r="N101" s="36"/>
      <c r="P101" s="46">
        <v>87</v>
      </c>
      <c r="Q101" s="47" t="s">
        <v>227</v>
      </c>
      <c r="R101" s="35"/>
      <c r="S101" s="36"/>
    </row>
    <row r="102" spans="1:19" hidden="1">
      <c r="A102" s="46">
        <v>88</v>
      </c>
      <c r="B102" s="47" t="s">
        <v>228</v>
      </c>
      <c r="C102" s="35"/>
      <c r="D102" s="36"/>
      <c r="E102" s="35"/>
      <c r="F102" s="46">
        <v>88</v>
      </c>
      <c r="G102" s="47" t="s">
        <v>228</v>
      </c>
      <c r="H102" s="35"/>
      <c r="I102" s="36"/>
      <c r="K102" s="46">
        <v>88</v>
      </c>
      <c r="L102" s="47" t="s">
        <v>228</v>
      </c>
      <c r="M102" s="35"/>
      <c r="N102" s="36"/>
      <c r="P102" s="46">
        <v>88</v>
      </c>
      <c r="Q102" s="47" t="s">
        <v>228</v>
      </c>
      <c r="R102" s="35"/>
      <c r="S102" s="36"/>
    </row>
    <row r="103" spans="1:19" hidden="1">
      <c r="A103" s="46">
        <v>89</v>
      </c>
      <c r="B103" s="47" t="s">
        <v>229</v>
      </c>
      <c r="C103" s="35"/>
      <c r="D103" s="36"/>
      <c r="E103" s="35"/>
      <c r="F103" s="46">
        <v>89</v>
      </c>
      <c r="G103" s="47" t="s">
        <v>229</v>
      </c>
      <c r="H103" s="35"/>
      <c r="I103" s="36"/>
      <c r="K103" s="46">
        <v>89</v>
      </c>
      <c r="L103" s="47" t="s">
        <v>229</v>
      </c>
      <c r="M103" s="35"/>
      <c r="N103" s="36"/>
      <c r="P103" s="46">
        <v>89</v>
      </c>
      <c r="Q103" s="47" t="s">
        <v>229</v>
      </c>
      <c r="R103" s="35"/>
      <c r="S103" s="36"/>
    </row>
    <row r="104" spans="1:19" hidden="1">
      <c r="A104" s="46">
        <v>90</v>
      </c>
      <c r="B104" s="47" t="s">
        <v>230</v>
      </c>
      <c r="C104" s="35"/>
      <c r="D104" s="36"/>
      <c r="E104" s="35"/>
      <c r="F104" s="46">
        <v>90</v>
      </c>
      <c r="G104" s="47" t="s">
        <v>230</v>
      </c>
      <c r="H104" s="35"/>
      <c r="I104" s="36"/>
      <c r="K104" s="46">
        <v>90</v>
      </c>
      <c r="L104" s="47" t="s">
        <v>230</v>
      </c>
      <c r="M104" s="35"/>
      <c r="N104" s="36"/>
      <c r="P104" s="46">
        <v>90</v>
      </c>
      <c r="Q104" s="47" t="s">
        <v>230</v>
      </c>
      <c r="R104" s="35"/>
      <c r="S104" s="36"/>
    </row>
    <row r="105" spans="1:19" hidden="1">
      <c r="A105" s="46">
        <v>91</v>
      </c>
      <c r="B105" s="47" t="s">
        <v>231</v>
      </c>
      <c r="C105" s="35"/>
      <c r="D105" s="36"/>
      <c r="E105" s="35"/>
      <c r="F105" s="46">
        <v>91</v>
      </c>
      <c r="G105" s="47" t="s">
        <v>231</v>
      </c>
      <c r="H105" s="35"/>
      <c r="I105" s="36"/>
      <c r="K105" s="46">
        <v>91</v>
      </c>
      <c r="L105" s="47" t="s">
        <v>231</v>
      </c>
      <c r="M105" s="35"/>
      <c r="N105" s="36"/>
      <c r="P105" s="46">
        <v>91</v>
      </c>
      <c r="Q105" s="47" t="s">
        <v>231</v>
      </c>
      <c r="R105" s="35"/>
      <c r="S105" s="36"/>
    </row>
    <row r="106" spans="1:19" hidden="1">
      <c r="A106" s="46">
        <v>92</v>
      </c>
      <c r="B106" s="47" t="s">
        <v>232</v>
      </c>
      <c r="C106" s="35"/>
      <c r="D106" s="36"/>
      <c r="E106" s="35"/>
      <c r="F106" s="46">
        <v>92</v>
      </c>
      <c r="G106" s="47" t="s">
        <v>232</v>
      </c>
      <c r="H106" s="35"/>
      <c r="I106" s="36"/>
      <c r="K106" s="46">
        <v>92</v>
      </c>
      <c r="L106" s="47" t="s">
        <v>232</v>
      </c>
      <c r="M106" s="35"/>
      <c r="N106" s="36"/>
      <c r="P106" s="46">
        <v>92</v>
      </c>
      <c r="Q106" s="47" t="s">
        <v>232</v>
      </c>
      <c r="R106" s="35"/>
      <c r="S106" s="36"/>
    </row>
    <row r="107" spans="1:19" hidden="1">
      <c r="A107" s="46">
        <v>93</v>
      </c>
      <c r="B107" s="47" t="s">
        <v>233</v>
      </c>
      <c r="C107" s="35"/>
      <c r="D107" s="36"/>
      <c r="E107" s="35"/>
      <c r="F107" s="46">
        <v>93</v>
      </c>
      <c r="G107" s="47" t="s">
        <v>233</v>
      </c>
      <c r="H107" s="35"/>
      <c r="I107" s="36"/>
      <c r="K107" s="46">
        <v>93</v>
      </c>
      <c r="L107" s="47" t="s">
        <v>233</v>
      </c>
      <c r="M107" s="35"/>
      <c r="N107" s="36"/>
      <c r="P107" s="46">
        <v>93</v>
      </c>
      <c r="Q107" s="47" t="s">
        <v>233</v>
      </c>
      <c r="R107" s="35"/>
      <c r="S107" s="36"/>
    </row>
    <row r="108" spans="1:19" hidden="1">
      <c r="A108" s="46">
        <v>94</v>
      </c>
      <c r="B108" s="47" t="s">
        <v>234</v>
      </c>
      <c r="C108" s="35"/>
      <c r="D108" s="36"/>
      <c r="E108" s="35"/>
      <c r="F108" s="46">
        <v>94</v>
      </c>
      <c r="G108" s="47" t="s">
        <v>234</v>
      </c>
      <c r="H108" s="35"/>
      <c r="I108" s="36"/>
      <c r="K108" s="46">
        <v>94</v>
      </c>
      <c r="L108" s="47" t="s">
        <v>234</v>
      </c>
      <c r="M108" s="35"/>
      <c r="N108" s="36"/>
      <c r="P108" s="46">
        <v>94</v>
      </c>
      <c r="Q108" s="47" t="s">
        <v>234</v>
      </c>
      <c r="R108" s="35"/>
      <c r="S108" s="36"/>
    </row>
    <row r="109" spans="1:19" hidden="1">
      <c r="A109" s="46">
        <v>95</v>
      </c>
      <c r="B109" s="47" t="s">
        <v>235</v>
      </c>
      <c r="C109" s="35"/>
      <c r="D109" s="36"/>
      <c r="E109" s="35"/>
      <c r="F109" s="46">
        <v>95</v>
      </c>
      <c r="G109" s="47" t="s">
        <v>235</v>
      </c>
      <c r="H109" s="35"/>
      <c r="I109" s="36"/>
      <c r="K109" s="46">
        <v>95</v>
      </c>
      <c r="L109" s="47" t="s">
        <v>235</v>
      </c>
      <c r="M109" s="35"/>
      <c r="N109" s="36"/>
      <c r="P109" s="46">
        <v>95</v>
      </c>
      <c r="Q109" s="47" t="s">
        <v>235</v>
      </c>
      <c r="R109" s="35"/>
      <c r="S109" s="36"/>
    </row>
    <row r="110" spans="1:19" hidden="1">
      <c r="A110" s="46">
        <v>96</v>
      </c>
      <c r="B110" s="47" t="s">
        <v>236</v>
      </c>
      <c r="C110" s="35"/>
      <c r="D110" s="36"/>
      <c r="E110" s="35"/>
      <c r="F110" s="46">
        <v>96</v>
      </c>
      <c r="G110" s="47" t="s">
        <v>236</v>
      </c>
      <c r="H110" s="35"/>
      <c r="I110" s="36"/>
      <c r="K110" s="46">
        <v>96</v>
      </c>
      <c r="L110" s="47" t="s">
        <v>236</v>
      </c>
      <c r="M110" s="35"/>
      <c r="N110" s="36"/>
      <c r="P110" s="46">
        <v>96</v>
      </c>
      <c r="Q110" s="47" t="s">
        <v>236</v>
      </c>
      <c r="R110" s="35"/>
      <c r="S110" s="36"/>
    </row>
    <row r="111" spans="1:19" hidden="1">
      <c r="A111" s="46">
        <v>97</v>
      </c>
      <c r="B111" s="47" t="s">
        <v>237</v>
      </c>
      <c r="C111" s="35"/>
      <c r="D111" s="36"/>
      <c r="E111" s="35"/>
      <c r="F111" s="46">
        <v>97</v>
      </c>
      <c r="G111" s="47" t="s">
        <v>237</v>
      </c>
      <c r="H111" s="35"/>
      <c r="I111" s="36"/>
      <c r="K111" s="46">
        <v>97</v>
      </c>
      <c r="L111" s="47" t="s">
        <v>237</v>
      </c>
      <c r="M111" s="35"/>
      <c r="N111" s="36"/>
      <c r="P111" s="46">
        <v>97</v>
      </c>
      <c r="Q111" s="47" t="s">
        <v>237</v>
      </c>
      <c r="R111" s="35"/>
      <c r="S111" s="36"/>
    </row>
    <row r="112" spans="1:19" hidden="1">
      <c r="A112" s="46">
        <v>98</v>
      </c>
      <c r="B112" s="47" t="s">
        <v>238</v>
      </c>
      <c r="C112" s="35"/>
      <c r="D112" s="36"/>
      <c r="E112" s="35"/>
      <c r="F112" s="46">
        <v>98</v>
      </c>
      <c r="G112" s="47" t="s">
        <v>238</v>
      </c>
      <c r="H112" s="35"/>
      <c r="I112" s="36"/>
      <c r="K112" s="46">
        <v>98</v>
      </c>
      <c r="L112" s="47" t="s">
        <v>238</v>
      </c>
      <c r="M112" s="35"/>
      <c r="N112" s="36"/>
      <c r="P112" s="46">
        <v>98</v>
      </c>
      <c r="Q112" s="47" t="s">
        <v>238</v>
      </c>
      <c r="R112" s="35"/>
      <c r="S112" s="36"/>
    </row>
    <row r="113" spans="1:19" hidden="1">
      <c r="A113" s="46">
        <v>99</v>
      </c>
      <c r="B113" s="47" t="s">
        <v>239</v>
      </c>
      <c r="C113" s="35"/>
      <c r="D113" s="36"/>
      <c r="E113" s="35"/>
      <c r="F113" s="46">
        <v>99</v>
      </c>
      <c r="G113" s="47" t="s">
        <v>239</v>
      </c>
      <c r="H113" s="35"/>
      <c r="I113" s="36"/>
      <c r="K113" s="46">
        <v>99</v>
      </c>
      <c r="L113" s="47" t="s">
        <v>239</v>
      </c>
      <c r="M113" s="35"/>
      <c r="N113" s="36"/>
      <c r="P113" s="46">
        <v>99</v>
      </c>
      <c r="Q113" s="47" t="s">
        <v>239</v>
      </c>
      <c r="R113" s="35"/>
      <c r="S113" s="36"/>
    </row>
    <row r="114" spans="1:19" ht="13.5" hidden="1" thickBot="1">
      <c r="A114" s="49">
        <v>100</v>
      </c>
      <c r="B114" s="50" t="s">
        <v>240</v>
      </c>
      <c r="C114" s="51"/>
      <c r="D114" s="52"/>
      <c r="E114" s="35"/>
      <c r="F114" s="49">
        <v>100</v>
      </c>
      <c r="G114" s="50" t="s">
        <v>240</v>
      </c>
      <c r="H114" s="51"/>
      <c r="I114" s="52"/>
      <c r="K114" s="49">
        <v>100</v>
      </c>
      <c r="L114" s="50" t="s">
        <v>240</v>
      </c>
      <c r="M114" s="51"/>
      <c r="N114" s="52"/>
      <c r="P114" s="49">
        <v>100</v>
      </c>
      <c r="Q114" s="50" t="s">
        <v>240</v>
      </c>
      <c r="R114" s="51"/>
      <c r="S114" s="52"/>
    </row>
    <row r="115" spans="1:19" hidden="1"/>
    <row r="116" spans="1:19" hidden="1"/>
    <row r="117" spans="1:19" hidden="1"/>
    <row r="118" spans="1:19" hidden="1"/>
    <row r="119" spans="1:19" hidden="1"/>
    <row r="120" spans="1:19">
      <c r="A120" s="53" t="s">
        <v>241</v>
      </c>
    </row>
    <row r="121" spans="1:19" ht="13.5" thickBot="1"/>
    <row r="122" spans="1:19" ht="13.5" thickBot="1">
      <c r="A122" s="26" t="e">
        <f>#REF!</f>
        <v>#REF!</v>
      </c>
      <c r="B122" s="27"/>
      <c r="C122" s="27"/>
      <c r="D122" s="28"/>
    </row>
    <row r="123" spans="1:19" ht="13.5" thickBot="1">
      <c r="A123" s="29"/>
      <c r="D123" s="30"/>
    </row>
    <row r="124" spans="1:19" ht="15.75" thickBot="1">
      <c r="A124" s="399" t="e">
        <f>#REF!</f>
        <v>#REF!</v>
      </c>
      <c r="B124" s="400"/>
      <c r="C124" s="32"/>
      <c r="D124" s="33"/>
    </row>
    <row r="125" spans="1:19">
      <c r="A125" s="401"/>
      <c r="B125" s="402"/>
      <c r="C125" s="32"/>
      <c r="D125" s="33"/>
    </row>
    <row r="126" spans="1:19">
      <c r="A126" s="34"/>
      <c r="B126" s="35"/>
      <c r="C126" s="35"/>
      <c r="D126" s="36"/>
    </row>
    <row r="127" spans="1:19" ht="69" customHeight="1">
      <c r="A127" s="403" t="e">
        <f>IF(OR((A124&gt;9999999999),(A124&lt;0)),"Invalid Entry - More than 1000 crore OR -ve value",IF(A124=0, "",+CONCATENATE(A122," ", U123,B134,D134,B133,D133,B132,D132,B131,D131,B130,D130,B129," Only")))</f>
        <v>#REF!</v>
      </c>
      <c r="B127" s="404"/>
      <c r="C127" s="404"/>
      <c r="D127" s="405"/>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138</v>
      </c>
      <c r="C136" s="35"/>
      <c r="D136" s="36"/>
    </row>
    <row r="137" spans="1:4">
      <c r="A137" s="46">
        <v>2</v>
      </c>
      <c r="B137" s="47" t="s">
        <v>139</v>
      </c>
      <c r="C137" s="35"/>
      <c r="D137" s="36"/>
    </row>
    <row r="138" spans="1:4">
      <c r="A138" s="46">
        <v>3</v>
      </c>
      <c r="B138" s="47" t="s">
        <v>140</v>
      </c>
      <c r="C138" s="35"/>
      <c r="D138" s="36"/>
    </row>
    <row r="139" spans="1:4">
      <c r="A139" s="46">
        <v>4</v>
      </c>
      <c r="B139" s="47" t="s">
        <v>141</v>
      </c>
      <c r="C139" s="35"/>
      <c r="D139" s="36"/>
    </row>
    <row r="140" spans="1:4">
      <c r="A140" s="46">
        <v>5</v>
      </c>
      <c r="B140" s="47" t="s">
        <v>142</v>
      </c>
      <c r="C140" s="35"/>
      <c r="D140" s="36"/>
    </row>
    <row r="141" spans="1:4">
      <c r="A141" s="46">
        <v>6</v>
      </c>
      <c r="B141" s="47" t="s">
        <v>143</v>
      </c>
      <c r="C141" s="35"/>
      <c r="D141" s="36"/>
    </row>
    <row r="142" spans="1:4">
      <c r="A142" s="46">
        <v>7</v>
      </c>
      <c r="B142" s="47" t="s">
        <v>144</v>
      </c>
      <c r="C142" s="35"/>
      <c r="D142" s="36"/>
    </row>
    <row r="143" spans="1:4">
      <c r="A143" s="46">
        <v>8</v>
      </c>
      <c r="B143" s="47" t="s">
        <v>145</v>
      </c>
      <c r="C143" s="35"/>
      <c r="D143" s="36"/>
    </row>
    <row r="144" spans="1:4">
      <c r="A144" s="46">
        <v>9</v>
      </c>
      <c r="B144" s="47" t="s">
        <v>146</v>
      </c>
      <c r="C144" s="35"/>
      <c r="D144" s="36"/>
    </row>
    <row r="145" spans="1:4">
      <c r="A145" s="46">
        <v>10</v>
      </c>
      <c r="B145" s="47" t="s">
        <v>147</v>
      </c>
      <c r="C145" s="35"/>
      <c r="D145" s="36"/>
    </row>
    <row r="146" spans="1:4">
      <c r="A146" s="46">
        <v>11</v>
      </c>
      <c r="B146" s="47" t="s">
        <v>148</v>
      </c>
      <c r="C146" s="35"/>
      <c r="D146" s="36"/>
    </row>
    <row r="147" spans="1:4">
      <c r="A147" s="46">
        <v>12</v>
      </c>
      <c r="B147" s="47" t="s">
        <v>149</v>
      </c>
      <c r="C147" s="35"/>
      <c r="D147" s="36"/>
    </row>
    <row r="148" spans="1:4">
      <c r="A148" s="46">
        <v>13</v>
      </c>
      <c r="B148" s="47" t="s">
        <v>150</v>
      </c>
      <c r="C148" s="35"/>
      <c r="D148" s="36"/>
    </row>
    <row r="149" spans="1:4">
      <c r="A149" s="46">
        <v>14</v>
      </c>
      <c r="B149" s="47" t="s">
        <v>151</v>
      </c>
      <c r="C149" s="35"/>
      <c r="D149" s="36"/>
    </row>
    <row r="150" spans="1:4">
      <c r="A150" s="46">
        <v>15</v>
      </c>
      <c r="B150" s="47" t="s">
        <v>152</v>
      </c>
      <c r="C150" s="35"/>
      <c r="D150" s="36"/>
    </row>
    <row r="151" spans="1:4">
      <c r="A151" s="46">
        <v>16</v>
      </c>
      <c r="B151" s="47" t="s">
        <v>153</v>
      </c>
      <c r="C151" s="35"/>
      <c r="D151" s="36"/>
    </row>
    <row r="152" spans="1:4">
      <c r="A152" s="46">
        <v>17</v>
      </c>
      <c r="B152" s="47" t="s">
        <v>155</v>
      </c>
      <c r="C152" s="35"/>
      <c r="D152" s="36"/>
    </row>
    <row r="153" spans="1:4">
      <c r="A153" s="46">
        <v>18</v>
      </c>
      <c r="B153" s="47" t="s">
        <v>157</v>
      </c>
      <c r="C153" s="35"/>
      <c r="D153" s="36"/>
    </row>
    <row r="154" spans="1:4">
      <c r="A154" s="46">
        <v>19</v>
      </c>
      <c r="B154" s="47" t="s">
        <v>159</v>
      </c>
      <c r="C154" s="35"/>
      <c r="D154" s="36"/>
    </row>
    <row r="155" spans="1:4">
      <c r="A155" s="46">
        <v>20</v>
      </c>
      <c r="B155" s="47" t="s">
        <v>160</v>
      </c>
      <c r="C155" s="35"/>
      <c r="D155" s="36"/>
    </row>
    <row r="156" spans="1:4">
      <c r="A156" s="46">
        <v>21</v>
      </c>
      <c r="B156" s="47" t="s">
        <v>161</v>
      </c>
      <c r="C156" s="35"/>
      <c r="D156" s="36"/>
    </row>
    <row r="157" spans="1:4">
      <c r="A157" s="46">
        <v>22</v>
      </c>
      <c r="B157" s="47" t="s">
        <v>162</v>
      </c>
      <c r="C157" s="35"/>
      <c r="D157" s="36"/>
    </row>
    <row r="158" spans="1:4">
      <c r="A158" s="46">
        <v>23</v>
      </c>
      <c r="B158" s="47" t="s">
        <v>163</v>
      </c>
      <c r="C158" s="35"/>
      <c r="D158" s="36"/>
    </row>
    <row r="159" spans="1:4">
      <c r="A159" s="46">
        <v>24</v>
      </c>
      <c r="B159" s="47" t="s">
        <v>164</v>
      </c>
      <c r="C159" s="35"/>
      <c r="D159" s="36"/>
    </row>
    <row r="160" spans="1:4">
      <c r="A160" s="46">
        <v>25</v>
      </c>
      <c r="B160" s="47" t="s">
        <v>165</v>
      </c>
      <c r="C160" s="35"/>
      <c r="D160" s="36"/>
    </row>
    <row r="161" spans="1:4">
      <c r="A161" s="46">
        <v>26</v>
      </c>
      <c r="B161" s="47" t="s">
        <v>166</v>
      </c>
      <c r="C161" s="35"/>
      <c r="D161" s="36"/>
    </row>
    <row r="162" spans="1:4">
      <c r="A162" s="46">
        <v>27</v>
      </c>
      <c r="B162" s="47" t="s">
        <v>167</v>
      </c>
      <c r="C162" s="35"/>
      <c r="D162" s="36"/>
    </row>
    <row r="163" spans="1:4">
      <c r="A163" s="46">
        <v>28</v>
      </c>
      <c r="B163" s="47" t="s">
        <v>168</v>
      </c>
      <c r="C163" s="35"/>
      <c r="D163" s="36"/>
    </row>
    <row r="164" spans="1:4">
      <c r="A164" s="46">
        <v>29</v>
      </c>
      <c r="B164" s="47" t="s">
        <v>169</v>
      </c>
      <c r="C164" s="35"/>
      <c r="D164" s="36"/>
    </row>
    <row r="165" spans="1:4">
      <c r="A165" s="46">
        <v>30</v>
      </c>
      <c r="B165" s="47" t="s">
        <v>170</v>
      </c>
      <c r="C165" s="35"/>
      <c r="D165" s="36"/>
    </row>
    <row r="166" spans="1:4">
      <c r="A166" s="46">
        <v>31</v>
      </c>
      <c r="B166" s="47" t="s">
        <v>171</v>
      </c>
      <c r="C166" s="35"/>
      <c r="D166" s="36"/>
    </row>
    <row r="167" spans="1:4">
      <c r="A167" s="46">
        <v>32</v>
      </c>
      <c r="B167" s="47" t="s">
        <v>172</v>
      </c>
      <c r="C167" s="35"/>
      <c r="D167" s="36"/>
    </row>
    <row r="168" spans="1:4">
      <c r="A168" s="46">
        <v>33</v>
      </c>
      <c r="B168" s="47" t="s">
        <v>173</v>
      </c>
      <c r="C168" s="35"/>
      <c r="D168" s="36"/>
    </row>
    <row r="169" spans="1:4">
      <c r="A169" s="46">
        <v>34</v>
      </c>
      <c r="B169" s="47" t="s">
        <v>174</v>
      </c>
      <c r="C169" s="35"/>
      <c r="D169" s="36"/>
    </row>
    <row r="170" spans="1:4">
      <c r="A170" s="46">
        <v>35</v>
      </c>
      <c r="B170" s="47" t="s">
        <v>175</v>
      </c>
      <c r="C170" s="35"/>
      <c r="D170" s="36"/>
    </row>
    <row r="171" spans="1:4">
      <c r="A171" s="46">
        <v>36</v>
      </c>
      <c r="B171" s="47" t="s">
        <v>176</v>
      </c>
      <c r="C171" s="35"/>
      <c r="D171" s="36"/>
    </row>
    <row r="172" spans="1:4">
      <c r="A172" s="46">
        <v>37</v>
      </c>
      <c r="B172" s="47" t="s">
        <v>177</v>
      </c>
      <c r="C172" s="35"/>
      <c r="D172" s="36"/>
    </row>
    <row r="173" spans="1:4">
      <c r="A173" s="46">
        <v>38</v>
      </c>
      <c r="B173" s="47" t="s">
        <v>178</v>
      </c>
      <c r="C173" s="35"/>
      <c r="D173" s="36"/>
    </row>
    <row r="174" spans="1:4">
      <c r="A174" s="46">
        <v>39</v>
      </c>
      <c r="B174" s="47" t="s">
        <v>179</v>
      </c>
      <c r="C174" s="35"/>
      <c r="D174" s="36"/>
    </row>
    <row r="175" spans="1:4">
      <c r="A175" s="46">
        <v>40</v>
      </c>
      <c r="B175" s="47" t="s">
        <v>180</v>
      </c>
      <c r="C175" s="35"/>
      <c r="D175" s="36"/>
    </row>
    <row r="176" spans="1:4">
      <c r="A176" s="46">
        <v>41</v>
      </c>
      <c r="B176" s="47" t="s">
        <v>181</v>
      </c>
      <c r="C176" s="35"/>
      <c r="D176" s="36"/>
    </row>
    <row r="177" spans="1:4">
      <c r="A177" s="46">
        <v>42</v>
      </c>
      <c r="B177" s="47" t="s">
        <v>182</v>
      </c>
      <c r="C177" s="35"/>
      <c r="D177" s="36"/>
    </row>
    <row r="178" spans="1:4">
      <c r="A178" s="46">
        <v>43</v>
      </c>
      <c r="B178" s="47" t="s">
        <v>183</v>
      </c>
      <c r="C178" s="35"/>
      <c r="D178" s="36"/>
    </row>
    <row r="179" spans="1:4">
      <c r="A179" s="46">
        <v>44</v>
      </c>
      <c r="B179" s="47" t="s">
        <v>184</v>
      </c>
      <c r="C179" s="35"/>
      <c r="D179" s="36"/>
    </row>
    <row r="180" spans="1:4">
      <c r="A180" s="46">
        <v>45</v>
      </c>
      <c r="B180" s="47" t="s">
        <v>185</v>
      </c>
      <c r="C180" s="35"/>
      <c r="D180" s="36"/>
    </row>
    <row r="181" spans="1:4">
      <c r="A181" s="46">
        <v>46</v>
      </c>
      <c r="B181" s="47" t="s">
        <v>186</v>
      </c>
      <c r="C181" s="35"/>
      <c r="D181" s="36"/>
    </row>
    <row r="182" spans="1:4">
      <c r="A182" s="46">
        <v>47</v>
      </c>
      <c r="B182" s="47" t="s">
        <v>187</v>
      </c>
      <c r="C182" s="35"/>
      <c r="D182" s="36"/>
    </row>
    <row r="183" spans="1:4">
      <c r="A183" s="46">
        <v>48</v>
      </c>
      <c r="B183" s="47" t="s">
        <v>188</v>
      </c>
      <c r="C183" s="35"/>
      <c r="D183" s="36"/>
    </row>
    <row r="184" spans="1:4">
      <c r="A184" s="46">
        <v>49</v>
      </c>
      <c r="B184" s="47" t="s">
        <v>189</v>
      </c>
      <c r="C184" s="35"/>
      <c r="D184" s="36"/>
    </row>
    <row r="185" spans="1:4">
      <c r="A185" s="46">
        <v>50</v>
      </c>
      <c r="B185" s="47" t="s">
        <v>190</v>
      </c>
      <c r="C185" s="35"/>
      <c r="D185" s="36"/>
    </row>
    <row r="186" spans="1:4">
      <c r="A186" s="46">
        <v>51</v>
      </c>
      <c r="B186" s="47" t="s">
        <v>191</v>
      </c>
      <c r="C186" s="35"/>
      <c r="D186" s="36"/>
    </row>
    <row r="187" spans="1:4">
      <c r="A187" s="46">
        <v>52</v>
      </c>
      <c r="B187" s="47" t="s">
        <v>192</v>
      </c>
      <c r="C187" s="35"/>
      <c r="D187" s="36"/>
    </row>
    <row r="188" spans="1:4">
      <c r="A188" s="46">
        <v>53</v>
      </c>
      <c r="B188" s="47" t="s">
        <v>193</v>
      </c>
      <c r="C188" s="35"/>
      <c r="D188" s="36"/>
    </row>
    <row r="189" spans="1:4">
      <c r="A189" s="46">
        <v>54</v>
      </c>
      <c r="B189" s="47" t="s">
        <v>194</v>
      </c>
      <c r="C189" s="35"/>
      <c r="D189" s="36"/>
    </row>
    <row r="190" spans="1:4">
      <c r="A190" s="46">
        <v>55</v>
      </c>
      <c r="B190" s="47" t="s">
        <v>195</v>
      </c>
      <c r="C190" s="35"/>
      <c r="D190" s="36"/>
    </row>
    <row r="191" spans="1:4">
      <c r="A191" s="46">
        <v>56</v>
      </c>
      <c r="B191" s="47" t="s">
        <v>196</v>
      </c>
      <c r="C191" s="35"/>
      <c r="D191" s="36"/>
    </row>
    <row r="192" spans="1:4">
      <c r="A192" s="46">
        <v>57</v>
      </c>
      <c r="B192" s="47" t="s">
        <v>197</v>
      </c>
      <c r="C192" s="35"/>
      <c r="D192" s="36"/>
    </row>
    <row r="193" spans="1:4">
      <c r="A193" s="46">
        <v>58</v>
      </c>
      <c r="B193" s="47" t="s">
        <v>198</v>
      </c>
      <c r="C193" s="35"/>
      <c r="D193" s="36"/>
    </row>
    <row r="194" spans="1:4">
      <c r="A194" s="46">
        <v>59</v>
      </c>
      <c r="B194" s="47" t="s">
        <v>199</v>
      </c>
      <c r="C194" s="35"/>
      <c r="D194" s="36"/>
    </row>
    <row r="195" spans="1:4">
      <c r="A195" s="46">
        <v>60</v>
      </c>
      <c r="B195" s="47" t="s">
        <v>200</v>
      </c>
      <c r="C195" s="35"/>
      <c r="D195" s="36"/>
    </row>
    <row r="196" spans="1:4">
      <c r="A196" s="46">
        <v>61</v>
      </c>
      <c r="B196" s="47" t="s">
        <v>201</v>
      </c>
      <c r="C196" s="35"/>
      <c r="D196" s="36"/>
    </row>
    <row r="197" spans="1:4">
      <c r="A197" s="46">
        <v>62</v>
      </c>
      <c r="B197" s="47" t="s">
        <v>202</v>
      </c>
      <c r="C197" s="35"/>
      <c r="D197" s="36"/>
    </row>
    <row r="198" spans="1:4">
      <c r="A198" s="46">
        <v>63</v>
      </c>
      <c r="B198" s="47" t="s">
        <v>203</v>
      </c>
      <c r="C198" s="35"/>
      <c r="D198" s="36"/>
    </row>
    <row r="199" spans="1:4">
      <c r="A199" s="46">
        <v>64</v>
      </c>
      <c r="B199" s="47" t="s">
        <v>204</v>
      </c>
      <c r="C199" s="35"/>
      <c r="D199" s="36"/>
    </row>
    <row r="200" spans="1:4">
      <c r="A200" s="46">
        <v>65</v>
      </c>
      <c r="B200" s="47" t="s">
        <v>205</v>
      </c>
      <c r="C200" s="35"/>
      <c r="D200" s="36"/>
    </row>
    <row r="201" spans="1:4">
      <c r="A201" s="46">
        <v>66</v>
      </c>
      <c r="B201" s="47" t="s">
        <v>206</v>
      </c>
      <c r="C201" s="35"/>
      <c r="D201" s="36"/>
    </row>
    <row r="202" spans="1:4">
      <c r="A202" s="46">
        <v>67</v>
      </c>
      <c r="B202" s="47" t="s">
        <v>207</v>
      </c>
      <c r="C202" s="35"/>
      <c r="D202" s="36"/>
    </row>
    <row r="203" spans="1:4">
      <c r="A203" s="46">
        <v>68</v>
      </c>
      <c r="B203" s="47" t="s">
        <v>208</v>
      </c>
      <c r="C203" s="35"/>
      <c r="D203" s="36"/>
    </row>
    <row r="204" spans="1:4">
      <c r="A204" s="46">
        <v>69</v>
      </c>
      <c r="B204" s="47" t="s">
        <v>209</v>
      </c>
      <c r="C204" s="35"/>
      <c r="D204" s="36"/>
    </row>
    <row r="205" spans="1:4">
      <c r="A205" s="46">
        <v>70</v>
      </c>
      <c r="B205" s="47" t="s">
        <v>210</v>
      </c>
      <c r="C205" s="35"/>
      <c r="D205" s="36"/>
    </row>
    <row r="206" spans="1:4">
      <c r="A206" s="46">
        <v>71</v>
      </c>
      <c r="B206" s="47" t="s">
        <v>211</v>
      </c>
      <c r="C206" s="35"/>
      <c r="D206" s="36"/>
    </row>
    <row r="207" spans="1:4">
      <c r="A207" s="46">
        <v>72</v>
      </c>
      <c r="B207" s="47" t="s">
        <v>212</v>
      </c>
      <c r="C207" s="35"/>
      <c r="D207" s="36"/>
    </row>
    <row r="208" spans="1:4">
      <c r="A208" s="46">
        <v>73</v>
      </c>
      <c r="B208" s="47" t="s">
        <v>213</v>
      </c>
      <c r="C208" s="35"/>
      <c r="D208" s="36"/>
    </row>
    <row r="209" spans="1:4">
      <c r="A209" s="46">
        <v>74</v>
      </c>
      <c r="B209" s="47" t="s">
        <v>214</v>
      </c>
      <c r="C209" s="35"/>
      <c r="D209" s="36"/>
    </row>
    <row r="210" spans="1:4">
      <c r="A210" s="46">
        <v>75</v>
      </c>
      <c r="B210" s="47" t="s">
        <v>215</v>
      </c>
      <c r="C210" s="35"/>
      <c r="D210" s="36"/>
    </row>
    <row r="211" spans="1:4">
      <c r="A211" s="46">
        <v>76</v>
      </c>
      <c r="B211" s="47" t="s">
        <v>216</v>
      </c>
      <c r="C211" s="35"/>
      <c r="D211" s="36"/>
    </row>
    <row r="212" spans="1:4">
      <c r="A212" s="46">
        <v>77</v>
      </c>
      <c r="B212" s="47" t="s">
        <v>217</v>
      </c>
      <c r="C212" s="35"/>
      <c r="D212" s="36"/>
    </row>
    <row r="213" spans="1:4">
      <c r="A213" s="46">
        <v>78</v>
      </c>
      <c r="B213" s="47" t="s">
        <v>218</v>
      </c>
      <c r="C213" s="35"/>
      <c r="D213" s="36"/>
    </row>
    <row r="214" spans="1:4">
      <c r="A214" s="46">
        <v>79</v>
      </c>
      <c r="B214" s="47" t="s">
        <v>219</v>
      </c>
      <c r="C214" s="35"/>
      <c r="D214" s="36"/>
    </row>
    <row r="215" spans="1:4">
      <c r="A215" s="46">
        <v>80</v>
      </c>
      <c r="B215" s="47" t="s">
        <v>220</v>
      </c>
      <c r="C215" s="35"/>
      <c r="D215" s="36"/>
    </row>
    <row r="216" spans="1:4">
      <c r="A216" s="46">
        <v>81</v>
      </c>
      <c r="B216" s="47" t="s">
        <v>221</v>
      </c>
      <c r="C216" s="35"/>
      <c r="D216" s="36"/>
    </row>
    <row r="217" spans="1:4">
      <c r="A217" s="46">
        <v>82</v>
      </c>
      <c r="B217" s="47" t="s">
        <v>222</v>
      </c>
      <c r="C217" s="35"/>
      <c r="D217" s="36"/>
    </row>
    <row r="218" spans="1:4">
      <c r="A218" s="46">
        <v>83</v>
      </c>
      <c r="B218" s="47" t="s">
        <v>223</v>
      </c>
      <c r="C218" s="35"/>
      <c r="D218" s="36"/>
    </row>
    <row r="219" spans="1:4">
      <c r="A219" s="46">
        <v>84</v>
      </c>
      <c r="B219" s="47" t="s">
        <v>224</v>
      </c>
      <c r="C219" s="35"/>
      <c r="D219" s="36"/>
    </row>
    <row r="220" spans="1:4">
      <c r="A220" s="46">
        <v>85</v>
      </c>
      <c r="B220" s="47" t="s">
        <v>225</v>
      </c>
      <c r="C220" s="35"/>
      <c r="D220" s="36"/>
    </row>
    <row r="221" spans="1:4">
      <c r="A221" s="46">
        <v>86</v>
      </c>
      <c r="B221" s="47" t="s">
        <v>226</v>
      </c>
      <c r="C221" s="35"/>
      <c r="D221" s="36"/>
    </row>
    <row r="222" spans="1:4">
      <c r="A222" s="46">
        <v>87</v>
      </c>
      <c r="B222" s="47" t="s">
        <v>227</v>
      </c>
      <c r="C222" s="35"/>
      <c r="D222" s="36"/>
    </row>
    <row r="223" spans="1:4">
      <c r="A223" s="46">
        <v>88</v>
      </c>
      <c r="B223" s="47" t="s">
        <v>228</v>
      </c>
      <c r="C223" s="35"/>
      <c r="D223" s="36"/>
    </row>
    <row r="224" spans="1:4">
      <c r="A224" s="46">
        <v>89</v>
      </c>
      <c r="B224" s="47" t="s">
        <v>229</v>
      </c>
      <c r="C224" s="35"/>
      <c r="D224" s="36"/>
    </row>
    <row r="225" spans="1:4">
      <c r="A225" s="46">
        <v>90</v>
      </c>
      <c r="B225" s="47" t="s">
        <v>230</v>
      </c>
      <c r="C225" s="35"/>
      <c r="D225" s="36"/>
    </row>
    <row r="226" spans="1:4">
      <c r="A226" s="46">
        <v>91</v>
      </c>
      <c r="B226" s="47" t="s">
        <v>231</v>
      </c>
      <c r="C226" s="35"/>
      <c r="D226" s="36"/>
    </row>
    <row r="227" spans="1:4">
      <c r="A227" s="46">
        <v>92</v>
      </c>
      <c r="B227" s="47" t="s">
        <v>232</v>
      </c>
      <c r="C227" s="35"/>
      <c r="D227" s="36"/>
    </row>
    <row r="228" spans="1:4">
      <c r="A228" s="46">
        <v>93</v>
      </c>
      <c r="B228" s="47" t="s">
        <v>233</v>
      </c>
      <c r="C228" s="35"/>
      <c r="D228" s="36"/>
    </row>
    <row r="229" spans="1:4">
      <c r="A229" s="46">
        <v>94</v>
      </c>
      <c r="B229" s="47" t="s">
        <v>234</v>
      </c>
      <c r="C229" s="35"/>
      <c r="D229" s="36"/>
    </row>
    <row r="230" spans="1:4">
      <c r="A230" s="46">
        <v>95</v>
      </c>
      <c r="B230" s="47" t="s">
        <v>235</v>
      </c>
      <c r="C230" s="35"/>
      <c r="D230" s="36"/>
    </row>
    <row r="231" spans="1:4">
      <c r="A231" s="46">
        <v>96</v>
      </c>
      <c r="B231" s="47" t="s">
        <v>236</v>
      </c>
      <c r="C231" s="35"/>
      <c r="D231" s="36"/>
    </row>
    <row r="232" spans="1:4">
      <c r="A232" s="46">
        <v>97</v>
      </c>
      <c r="B232" s="47" t="s">
        <v>237</v>
      </c>
      <c r="C232" s="35"/>
      <c r="D232" s="36"/>
    </row>
    <row r="233" spans="1:4">
      <c r="A233" s="46">
        <v>98</v>
      </c>
      <c r="B233" s="47" t="s">
        <v>238</v>
      </c>
      <c r="C233" s="35"/>
      <c r="D233" s="36"/>
    </row>
    <row r="234" spans="1:4">
      <c r="A234" s="46">
        <v>99</v>
      </c>
      <c r="B234" s="47" t="s">
        <v>239</v>
      </c>
      <c r="C234" s="35"/>
      <c r="D234" s="36"/>
    </row>
    <row r="235" spans="1:4" ht="13.5" thickBot="1">
      <c r="A235" s="49">
        <v>100</v>
      </c>
      <c r="B235" s="50" t="s">
        <v>240</v>
      </c>
      <c r="C235" s="51"/>
      <c r="D235" s="52"/>
    </row>
  </sheetData>
  <sheetProtection selectLockedCells="1"/>
  <customSheetViews>
    <customSheetView guid="{FAE469C4-CC0E-407B-871F-7B3C94956CEC}"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7"/>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8"/>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3854C08-3477-4F6D-851C-40DFA3C6F6FE}"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6"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P386"/>
  <sheetViews>
    <sheetView view="pageBreakPreview" topLeftCell="C1" zoomScale="60" zoomScaleNormal="90" workbookViewId="0">
      <pane ySplit="10" topLeftCell="A341" activePane="bottomLeft" state="frozen"/>
      <selection pane="bottomLeft" activeCell="N343" sqref="N343"/>
    </sheetView>
  </sheetViews>
  <sheetFormatPr defaultRowHeight="15.75"/>
  <cols>
    <col min="1" max="1" width="6.28515625" style="136" customWidth="1"/>
    <col min="2" max="2" width="16.5703125" style="137" customWidth="1"/>
    <col min="3" max="3" width="14.42578125" style="138" customWidth="1"/>
    <col min="4" max="4" width="15.28515625" style="139" customWidth="1"/>
    <col min="5" max="5" width="17" style="138" customWidth="1"/>
    <col min="6" max="6" width="12" style="138" customWidth="1"/>
    <col min="7" max="7" width="23.5703125" style="139" customWidth="1"/>
    <col min="8" max="8" width="78" style="139" customWidth="1"/>
    <col min="9" max="9" width="10.5703125" style="297" customWidth="1"/>
    <col min="10" max="10" width="12.42578125" style="139" bestFit="1" customWidth="1"/>
    <col min="11" max="11" width="15.140625" style="139" customWidth="1"/>
    <col min="12" max="12" width="13" style="139" customWidth="1"/>
    <col min="13" max="13" width="16.5703125" style="139" customWidth="1"/>
    <col min="14" max="14" width="27" style="139" customWidth="1"/>
    <col min="15" max="16" width="26.7109375" style="139" customWidth="1"/>
    <col min="17" max="16384" width="9.140625" style="139"/>
  </cols>
  <sheetData>
    <row r="1" spans="1:15" ht="43.5" customHeight="1">
      <c r="A1" s="421" t="str">
        <f>'Name of Bidder'!A1:C1</f>
        <v>Package-B for Construction of Field Hostel and Community Center at 765/400kV Kurnool-III PS under Transmission System for evacuation of power from RE sources in Kurnool Wind Energy Zone (3000MW)/ Solar Energy Zone (1500MW) Part-A and Part-B</v>
      </c>
      <c r="B1" s="421"/>
      <c r="C1" s="421"/>
      <c r="D1" s="421"/>
      <c r="E1" s="421"/>
      <c r="F1" s="421"/>
      <c r="G1" s="421"/>
      <c r="H1" s="421"/>
      <c r="I1" s="421"/>
      <c r="J1" s="421"/>
      <c r="K1" s="421"/>
      <c r="L1" s="421"/>
      <c r="M1" s="421"/>
      <c r="N1" s="421"/>
      <c r="O1" s="421"/>
    </row>
    <row r="2" spans="1:15" ht="16.5">
      <c r="A2" s="421" t="s">
        <v>242</v>
      </c>
      <c r="B2" s="421"/>
      <c r="C2" s="421"/>
      <c r="D2" s="421"/>
      <c r="E2" s="421"/>
      <c r="F2" s="421"/>
      <c r="G2" s="421"/>
      <c r="H2" s="421"/>
      <c r="I2" s="421"/>
      <c r="J2" s="421"/>
      <c r="K2" s="421"/>
      <c r="L2" s="421"/>
      <c r="M2" s="421"/>
      <c r="N2" s="421"/>
      <c r="O2" s="421"/>
    </row>
    <row r="3" spans="1:15" s="133" customFormat="1">
      <c r="A3" s="130"/>
      <c r="B3" s="131"/>
      <c r="C3" s="415"/>
      <c r="D3" s="415"/>
      <c r="E3" s="415"/>
      <c r="F3" s="415"/>
      <c r="G3" s="415"/>
      <c r="H3" s="415"/>
      <c r="I3" s="415"/>
      <c r="J3" s="415"/>
      <c r="K3" s="414" t="s">
        <v>243</v>
      </c>
      <c r="L3" s="414"/>
      <c r="M3" s="414"/>
    </row>
    <row r="4" spans="1:15" s="133" customFormat="1">
      <c r="A4" s="132" t="s">
        <v>244</v>
      </c>
      <c r="B4" s="134"/>
      <c r="C4" s="415">
        <f>'Name of Bidder'!C9</f>
        <v>0</v>
      </c>
      <c r="D4" s="415"/>
      <c r="E4" s="415"/>
      <c r="F4" s="415"/>
      <c r="G4" s="415"/>
      <c r="H4" s="415"/>
      <c r="I4" s="415"/>
      <c r="J4" s="415"/>
      <c r="K4" s="414" t="s">
        <v>245</v>
      </c>
      <c r="L4" s="414"/>
      <c r="M4" s="414"/>
    </row>
    <row r="5" spans="1:15" s="133" customFormat="1">
      <c r="A5" s="132" t="s">
        <v>16</v>
      </c>
      <c r="B5" s="134"/>
      <c r="C5" s="415">
        <f>'Name of Bidder'!C10</f>
        <v>0</v>
      </c>
      <c r="D5" s="415"/>
      <c r="E5" s="415"/>
      <c r="F5" s="415"/>
      <c r="G5" s="415"/>
      <c r="H5" s="415"/>
      <c r="I5" s="415"/>
      <c r="J5" s="415"/>
      <c r="K5" s="414" t="s">
        <v>246</v>
      </c>
      <c r="L5" s="414"/>
      <c r="M5" s="414"/>
    </row>
    <row r="6" spans="1:15" s="133" customFormat="1">
      <c r="A6" s="135"/>
      <c r="B6" s="134"/>
      <c r="C6" s="415">
        <f>'Name of Bidder'!C11</f>
        <v>0</v>
      </c>
      <c r="D6" s="415"/>
      <c r="E6" s="415"/>
      <c r="F6" s="415"/>
      <c r="G6" s="415"/>
      <c r="H6" s="415"/>
      <c r="I6" s="415"/>
      <c r="J6" s="415"/>
      <c r="K6" s="133" t="s">
        <v>247</v>
      </c>
    </row>
    <row r="7" spans="1:15" s="133" customFormat="1">
      <c r="A7" s="135"/>
      <c r="B7" s="134"/>
      <c r="C7" s="415">
        <f>'Name of Bidder'!C12</f>
        <v>0</v>
      </c>
      <c r="D7" s="415"/>
      <c r="E7" s="415"/>
      <c r="F7" s="415"/>
      <c r="G7" s="415"/>
      <c r="H7" s="415"/>
      <c r="I7" s="415"/>
      <c r="J7" s="415"/>
      <c r="K7" s="133" t="s">
        <v>248</v>
      </c>
    </row>
    <row r="8" spans="1:15">
      <c r="N8" s="422" t="s">
        <v>249</v>
      </c>
      <c r="O8" s="422"/>
    </row>
    <row r="9" spans="1:15" ht="117.75" customHeight="1">
      <c r="A9" s="127" t="s">
        <v>250</v>
      </c>
      <c r="B9" s="127" t="s">
        <v>251</v>
      </c>
      <c r="C9" s="127" t="s">
        <v>252</v>
      </c>
      <c r="D9" s="128" t="s">
        <v>253</v>
      </c>
      <c r="E9" s="140" t="s">
        <v>254</v>
      </c>
      <c r="F9" s="128" t="s">
        <v>255</v>
      </c>
      <c r="G9" s="140" t="s">
        <v>256</v>
      </c>
      <c r="H9" s="127" t="s">
        <v>257</v>
      </c>
      <c r="I9" s="127" t="s">
        <v>258</v>
      </c>
      <c r="J9" s="127" t="s">
        <v>259</v>
      </c>
      <c r="K9" s="127" t="s">
        <v>260</v>
      </c>
      <c r="L9" s="127" t="s">
        <v>261</v>
      </c>
      <c r="M9" s="127" t="s">
        <v>262</v>
      </c>
      <c r="N9" s="127" t="s">
        <v>263</v>
      </c>
      <c r="O9" s="127" t="s">
        <v>264</v>
      </c>
    </row>
    <row r="10" spans="1:15" ht="16.5">
      <c r="A10" s="141">
        <v>1</v>
      </c>
      <c r="B10" s="141">
        <v>2</v>
      </c>
      <c r="C10" s="141">
        <v>3</v>
      </c>
      <c r="D10" s="141">
        <v>4</v>
      </c>
      <c r="E10" s="128">
        <v>5</v>
      </c>
      <c r="F10" s="142">
        <v>6</v>
      </c>
      <c r="G10" s="142">
        <v>7</v>
      </c>
      <c r="H10" s="143">
        <v>8</v>
      </c>
      <c r="I10" s="144">
        <v>9</v>
      </c>
      <c r="J10" s="144">
        <v>10</v>
      </c>
      <c r="K10" s="144">
        <v>11</v>
      </c>
      <c r="L10" s="144">
        <v>12</v>
      </c>
      <c r="M10" s="144">
        <v>13</v>
      </c>
      <c r="N10" s="144" t="s">
        <v>265</v>
      </c>
      <c r="O10" s="145" t="s">
        <v>266</v>
      </c>
    </row>
    <row r="11" spans="1:15" ht="36">
      <c r="A11" s="217"/>
      <c r="B11" s="211" t="s">
        <v>267</v>
      </c>
      <c r="C11" s="212"/>
      <c r="D11" s="213"/>
      <c r="E11" s="214"/>
      <c r="F11" s="215"/>
      <c r="G11" s="216"/>
      <c r="H11" s="242" t="s">
        <v>268</v>
      </c>
      <c r="I11" s="298"/>
      <c r="J11" s="218"/>
      <c r="K11" s="219"/>
      <c r="L11" s="220"/>
      <c r="M11" s="219"/>
      <c r="N11" s="219"/>
      <c r="O11" s="218"/>
    </row>
    <row r="12" spans="1:15" ht="18.75">
      <c r="A12" s="217"/>
      <c r="B12" s="211"/>
      <c r="C12" s="212"/>
      <c r="D12" s="213"/>
      <c r="E12" s="214"/>
      <c r="F12" s="215"/>
      <c r="G12" s="216"/>
      <c r="H12" s="288" t="s">
        <v>269</v>
      </c>
      <c r="I12" s="298"/>
      <c r="J12" s="218"/>
      <c r="K12" s="219"/>
      <c r="L12" s="220"/>
      <c r="M12" s="219"/>
      <c r="N12" s="219"/>
      <c r="O12" s="218"/>
    </row>
    <row r="13" spans="1:15" ht="43.5" customHeight="1">
      <c r="A13" s="241">
        <v>1</v>
      </c>
      <c r="B13" s="292" t="s">
        <v>270</v>
      </c>
      <c r="C13" s="204"/>
      <c r="D13" s="204"/>
      <c r="E13" s="237"/>
      <c r="F13" s="248">
        <v>0.18</v>
      </c>
      <c r="G13" s="238"/>
      <c r="H13" s="249" t="s">
        <v>271</v>
      </c>
      <c r="I13" s="293" t="s">
        <v>272</v>
      </c>
      <c r="J13" s="293">
        <v>31</v>
      </c>
      <c r="K13" s="290">
        <v>245.82</v>
      </c>
      <c r="L13" s="147">
        <v>0.18</v>
      </c>
      <c r="M13" s="147">
        <f>ROUND(K13/(1+L13),2)</f>
        <v>208.32</v>
      </c>
      <c r="N13" s="147">
        <f>ROUND(M13*J13,2)</f>
        <v>6457.92</v>
      </c>
      <c r="O13" s="148">
        <f>ROUND(N13*18%,2)</f>
        <v>1162.43</v>
      </c>
    </row>
    <row r="14" spans="1:15" ht="45">
      <c r="A14" s="241">
        <f>A13+1</f>
        <v>2</v>
      </c>
      <c r="B14" s="292" t="s">
        <v>273</v>
      </c>
      <c r="C14" s="204"/>
      <c r="D14" s="204"/>
      <c r="E14" s="237"/>
      <c r="F14" s="248">
        <v>0.18</v>
      </c>
      <c r="G14" s="238"/>
      <c r="H14" s="249" t="s">
        <v>274</v>
      </c>
      <c r="I14" s="294" t="s">
        <v>272</v>
      </c>
      <c r="J14" s="294">
        <v>404</v>
      </c>
      <c r="K14" s="290">
        <v>393.32</v>
      </c>
      <c r="L14" s="147">
        <v>0.18</v>
      </c>
      <c r="M14" s="147">
        <f t="shared" ref="M14:M65" si="0">ROUND(K14/(1+L14),2)</f>
        <v>333.32</v>
      </c>
      <c r="N14" s="147">
        <f t="shared" ref="N14:N65" si="1">ROUND(M14*J14,2)</f>
        <v>134661.28</v>
      </c>
      <c r="O14" s="148">
        <f t="shared" ref="O14:O65" si="2">ROUND(N14*18%,2)</f>
        <v>24239.03</v>
      </c>
    </row>
    <row r="15" spans="1:15">
      <c r="A15" s="241"/>
      <c r="B15" s="292"/>
      <c r="C15" s="204"/>
      <c r="D15" s="204"/>
      <c r="E15" s="237"/>
      <c r="F15" s="248">
        <v>0.18</v>
      </c>
      <c r="G15" s="238"/>
      <c r="H15" s="288" t="s">
        <v>275</v>
      </c>
      <c r="I15" s="293"/>
      <c r="J15" s="293"/>
      <c r="K15" s="290"/>
      <c r="L15" s="146"/>
      <c r="M15" s="147"/>
      <c r="N15" s="147"/>
      <c r="O15" s="148"/>
    </row>
    <row r="16" spans="1:15" ht="95.25" customHeight="1">
      <c r="A16" s="241">
        <f>+A14+1</f>
        <v>3</v>
      </c>
      <c r="B16" s="292" t="s">
        <v>276</v>
      </c>
      <c r="C16" s="204"/>
      <c r="D16" s="204"/>
      <c r="E16" s="237"/>
      <c r="F16" s="248">
        <v>0.18</v>
      </c>
      <c r="G16" s="238"/>
      <c r="H16" s="249" t="s">
        <v>277</v>
      </c>
      <c r="I16" s="293" t="s">
        <v>272</v>
      </c>
      <c r="J16" s="293">
        <v>95</v>
      </c>
      <c r="K16" s="290">
        <v>260.3</v>
      </c>
      <c r="L16" s="147">
        <v>0.18</v>
      </c>
      <c r="M16" s="147">
        <f t="shared" si="0"/>
        <v>220.59</v>
      </c>
      <c r="N16" s="147">
        <f t="shared" si="1"/>
        <v>20956.05</v>
      </c>
      <c r="O16" s="148">
        <f t="shared" si="2"/>
        <v>3772.09</v>
      </c>
    </row>
    <row r="17" spans="1:15" ht="105">
      <c r="A17" s="241">
        <f t="shared" ref="A17:A24" si="3">+A16+1</f>
        <v>4</v>
      </c>
      <c r="B17" s="292" t="s">
        <v>278</v>
      </c>
      <c r="C17" s="204"/>
      <c r="D17" s="204"/>
      <c r="E17" s="237"/>
      <c r="F17" s="248">
        <v>0.18</v>
      </c>
      <c r="G17" s="238"/>
      <c r="H17" s="249" t="s">
        <v>279</v>
      </c>
      <c r="I17" s="293" t="s">
        <v>272</v>
      </c>
      <c r="J17" s="293">
        <v>167</v>
      </c>
      <c r="K17" s="290">
        <v>632.95000000000005</v>
      </c>
      <c r="L17" s="147">
        <v>0.18</v>
      </c>
      <c r="M17" s="147">
        <f t="shared" si="0"/>
        <v>536.4</v>
      </c>
      <c r="N17" s="147">
        <f t="shared" si="1"/>
        <v>89578.8</v>
      </c>
      <c r="O17" s="148">
        <f t="shared" si="2"/>
        <v>16124.18</v>
      </c>
    </row>
    <row r="18" spans="1:15" ht="105">
      <c r="A18" s="241">
        <f t="shared" si="3"/>
        <v>5</v>
      </c>
      <c r="B18" s="292" t="s">
        <v>280</v>
      </c>
      <c r="C18" s="204"/>
      <c r="D18" s="204"/>
      <c r="E18" s="237"/>
      <c r="F18" s="248">
        <v>0.18</v>
      </c>
      <c r="G18" s="238"/>
      <c r="H18" s="249" t="s">
        <v>281</v>
      </c>
      <c r="I18" s="293" t="s">
        <v>272</v>
      </c>
      <c r="J18" s="293">
        <v>236</v>
      </c>
      <c r="K18" s="290">
        <v>1049.8</v>
      </c>
      <c r="L18" s="147">
        <v>0.18</v>
      </c>
      <c r="M18" s="147">
        <f t="shared" si="0"/>
        <v>889.66</v>
      </c>
      <c r="N18" s="147">
        <f t="shared" si="1"/>
        <v>209959.76</v>
      </c>
      <c r="O18" s="148">
        <f t="shared" si="2"/>
        <v>37792.76</v>
      </c>
    </row>
    <row r="19" spans="1:15" ht="120">
      <c r="A19" s="241">
        <f t="shared" si="3"/>
        <v>6</v>
      </c>
      <c r="B19" s="292" t="s">
        <v>282</v>
      </c>
      <c r="C19" s="204"/>
      <c r="D19" s="204"/>
      <c r="E19" s="237"/>
      <c r="F19" s="248">
        <v>0.18</v>
      </c>
      <c r="G19" s="238"/>
      <c r="H19" s="249" t="s">
        <v>283</v>
      </c>
      <c r="I19" s="293" t="s">
        <v>284</v>
      </c>
      <c r="J19" s="293">
        <v>2</v>
      </c>
      <c r="K19" s="290">
        <v>352.15</v>
      </c>
      <c r="L19" s="147">
        <v>0.18</v>
      </c>
      <c r="M19" s="147">
        <f t="shared" si="0"/>
        <v>298.43</v>
      </c>
      <c r="N19" s="147">
        <f t="shared" si="1"/>
        <v>596.86</v>
      </c>
      <c r="O19" s="148">
        <f t="shared" si="2"/>
        <v>107.43</v>
      </c>
    </row>
    <row r="20" spans="1:15" ht="125.25" customHeight="1">
      <c r="A20" s="241">
        <f t="shared" si="3"/>
        <v>7</v>
      </c>
      <c r="B20" s="292" t="s">
        <v>285</v>
      </c>
      <c r="C20" s="204"/>
      <c r="D20" s="204"/>
      <c r="E20" s="237"/>
      <c r="F20" s="248">
        <v>0.18</v>
      </c>
      <c r="G20" s="238"/>
      <c r="H20" s="249" t="s">
        <v>286</v>
      </c>
      <c r="I20" s="293" t="s">
        <v>284</v>
      </c>
      <c r="J20" s="293">
        <v>3</v>
      </c>
      <c r="K20" s="290">
        <v>998.65</v>
      </c>
      <c r="L20" s="147">
        <v>0.18</v>
      </c>
      <c r="M20" s="147">
        <f t="shared" si="0"/>
        <v>846.31</v>
      </c>
      <c r="N20" s="147">
        <f t="shared" si="1"/>
        <v>2538.9299999999998</v>
      </c>
      <c r="O20" s="148">
        <f t="shared" si="2"/>
        <v>457.01</v>
      </c>
    </row>
    <row r="21" spans="1:15" ht="135.75" customHeight="1">
      <c r="A21" s="241">
        <f t="shared" si="3"/>
        <v>8</v>
      </c>
      <c r="B21" s="292" t="s">
        <v>287</v>
      </c>
      <c r="C21" s="204"/>
      <c r="D21" s="204"/>
      <c r="E21" s="237"/>
      <c r="F21" s="248">
        <v>0.18</v>
      </c>
      <c r="G21" s="238"/>
      <c r="H21" s="249" t="s">
        <v>288</v>
      </c>
      <c r="I21" s="293" t="s">
        <v>284</v>
      </c>
      <c r="J21" s="293">
        <v>5</v>
      </c>
      <c r="K21" s="290">
        <v>1493.6</v>
      </c>
      <c r="L21" s="147">
        <v>0.18</v>
      </c>
      <c r="M21" s="147">
        <f t="shared" si="0"/>
        <v>1265.76</v>
      </c>
      <c r="N21" s="147">
        <f t="shared" si="1"/>
        <v>6328.8</v>
      </c>
      <c r="O21" s="148">
        <f t="shared" si="2"/>
        <v>1139.18</v>
      </c>
    </row>
    <row r="22" spans="1:15" ht="60">
      <c r="A22" s="241">
        <f t="shared" si="3"/>
        <v>9</v>
      </c>
      <c r="B22" s="292" t="s">
        <v>289</v>
      </c>
      <c r="C22" s="204"/>
      <c r="D22" s="204"/>
      <c r="E22" s="237"/>
      <c r="F22" s="248">
        <v>0.18</v>
      </c>
      <c r="G22" s="238"/>
      <c r="H22" s="249" t="s">
        <v>290</v>
      </c>
      <c r="I22" s="293" t="s">
        <v>272</v>
      </c>
      <c r="J22" s="293">
        <v>65</v>
      </c>
      <c r="K22" s="290">
        <v>196</v>
      </c>
      <c r="L22" s="147">
        <v>0.18</v>
      </c>
      <c r="M22" s="147">
        <f t="shared" si="0"/>
        <v>166.1</v>
      </c>
      <c r="N22" s="147">
        <f t="shared" si="1"/>
        <v>10796.5</v>
      </c>
      <c r="O22" s="148">
        <f t="shared" si="2"/>
        <v>1943.37</v>
      </c>
    </row>
    <row r="23" spans="1:15" ht="60">
      <c r="A23" s="241">
        <f t="shared" si="3"/>
        <v>10</v>
      </c>
      <c r="B23" s="292" t="s">
        <v>291</v>
      </c>
      <c r="C23" s="204"/>
      <c r="D23" s="204"/>
      <c r="E23" s="237"/>
      <c r="F23" s="248">
        <v>0.18</v>
      </c>
      <c r="G23" s="238"/>
      <c r="H23" s="249" t="s">
        <v>292</v>
      </c>
      <c r="I23" s="293" t="s">
        <v>272</v>
      </c>
      <c r="J23" s="293">
        <v>215</v>
      </c>
      <c r="K23" s="290">
        <v>700.5</v>
      </c>
      <c r="L23" s="147">
        <v>0.18</v>
      </c>
      <c r="M23" s="147">
        <f t="shared" si="0"/>
        <v>593.64</v>
      </c>
      <c r="N23" s="147">
        <f t="shared" si="1"/>
        <v>127632.6</v>
      </c>
      <c r="O23" s="148">
        <f t="shared" si="2"/>
        <v>22973.87</v>
      </c>
    </row>
    <row r="24" spans="1:15" ht="30">
      <c r="A24" s="241">
        <f t="shared" si="3"/>
        <v>11</v>
      </c>
      <c r="B24" s="292" t="s">
        <v>293</v>
      </c>
      <c r="C24" s="204"/>
      <c r="D24" s="204"/>
      <c r="E24" s="237"/>
      <c r="F24" s="248">
        <v>0.18</v>
      </c>
      <c r="G24" s="238"/>
      <c r="H24" s="249" t="s">
        <v>294</v>
      </c>
      <c r="I24" s="293" t="s">
        <v>295</v>
      </c>
      <c r="J24" s="293">
        <v>249</v>
      </c>
      <c r="K24" s="290">
        <v>234.75</v>
      </c>
      <c r="L24" s="147">
        <v>0.18</v>
      </c>
      <c r="M24" s="147">
        <f t="shared" si="0"/>
        <v>198.94</v>
      </c>
      <c r="N24" s="147">
        <f t="shared" si="1"/>
        <v>49536.06</v>
      </c>
      <c r="O24" s="148">
        <f t="shared" si="2"/>
        <v>8916.49</v>
      </c>
    </row>
    <row r="25" spans="1:15">
      <c r="A25" s="241"/>
      <c r="B25" s="292"/>
      <c r="C25" s="204"/>
      <c r="D25" s="204"/>
      <c r="E25" s="237"/>
      <c r="F25" s="248">
        <v>0.18</v>
      </c>
      <c r="G25" s="238"/>
      <c r="H25" s="306" t="s">
        <v>296</v>
      </c>
      <c r="I25" s="293"/>
      <c r="J25" s="293"/>
      <c r="K25" s="290"/>
      <c r="L25" s="147">
        <v>0.18</v>
      </c>
      <c r="M25" s="147"/>
      <c r="N25" s="147"/>
      <c r="O25" s="148"/>
    </row>
    <row r="26" spans="1:15" ht="75">
      <c r="A26" s="241">
        <f>A24+1</f>
        <v>12</v>
      </c>
      <c r="B26" s="292" t="s">
        <v>297</v>
      </c>
      <c r="C26" s="204"/>
      <c r="D26" s="204"/>
      <c r="E26" s="237"/>
      <c r="F26" s="248">
        <v>0.18</v>
      </c>
      <c r="G26" s="238"/>
      <c r="H26" s="249" t="s">
        <v>298</v>
      </c>
      <c r="I26" s="293" t="s">
        <v>272</v>
      </c>
      <c r="J26" s="293">
        <v>94</v>
      </c>
      <c r="K26" s="290">
        <v>6812</v>
      </c>
      <c r="L26" s="147">
        <v>0.18</v>
      </c>
      <c r="M26" s="147">
        <f t="shared" si="0"/>
        <v>5772.88</v>
      </c>
      <c r="N26" s="147">
        <f t="shared" si="1"/>
        <v>542650.72</v>
      </c>
      <c r="O26" s="148">
        <f t="shared" si="2"/>
        <v>97677.13</v>
      </c>
    </row>
    <row r="27" spans="1:15" ht="120">
      <c r="A27" s="241">
        <f>+A26+1</f>
        <v>13</v>
      </c>
      <c r="B27" s="292" t="s">
        <v>299</v>
      </c>
      <c r="C27" s="204"/>
      <c r="D27" s="204"/>
      <c r="E27" s="237"/>
      <c r="F27" s="248">
        <v>0.18</v>
      </c>
      <c r="G27" s="238"/>
      <c r="H27" s="249" t="s">
        <v>300</v>
      </c>
      <c r="I27" s="293" t="s">
        <v>272</v>
      </c>
      <c r="J27" s="293">
        <v>14</v>
      </c>
      <c r="K27" s="290">
        <v>9895.2000000000007</v>
      </c>
      <c r="L27" s="147">
        <v>0.18</v>
      </c>
      <c r="M27" s="147">
        <f t="shared" si="0"/>
        <v>8385.76</v>
      </c>
      <c r="N27" s="147">
        <f t="shared" si="1"/>
        <v>117400.64</v>
      </c>
      <c r="O27" s="148">
        <f t="shared" si="2"/>
        <v>21132.12</v>
      </c>
    </row>
    <row r="28" spans="1:15" ht="45">
      <c r="A28" s="241">
        <f>+A27+1</f>
        <v>14</v>
      </c>
      <c r="B28" s="292" t="s">
        <v>301</v>
      </c>
      <c r="C28" s="204"/>
      <c r="D28" s="204"/>
      <c r="E28" s="237"/>
      <c r="F28" s="248">
        <v>0.18</v>
      </c>
      <c r="G28" s="238"/>
      <c r="H28" s="249" t="s">
        <v>302</v>
      </c>
      <c r="I28" s="295" t="s">
        <v>303</v>
      </c>
      <c r="J28" s="295">
        <v>126</v>
      </c>
      <c r="K28" s="290">
        <v>392.15</v>
      </c>
      <c r="L28" s="147">
        <v>0.18</v>
      </c>
      <c r="M28" s="147">
        <f t="shared" si="0"/>
        <v>332.33</v>
      </c>
      <c r="N28" s="147">
        <f t="shared" si="1"/>
        <v>41873.58</v>
      </c>
      <c r="O28" s="148">
        <f t="shared" si="2"/>
        <v>7537.24</v>
      </c>
    </row>
    <row r="29" spans="1:15" ht="60">
      <c r="A29" s="241">
        <f>+A28+1</f>
        <v>15</v>
      </c>
      <c r="B29" s="292" t="s">
        <v>304</v>
      </c>
      <c r="C29" s="204"/>
      <c r="D29" s="204"/>
      <c r="E29" s="237"/>
      <c r="F29" s="248">
        <v>0.18</v>
      </c>
      <c r="G29" s="238"/>
      <c r="H29" s="249" t="s">
        <v>305</v>
      </c>
      <c r="I29" s="295" t="s">
        <v>306</v>
      </c>
      <c r="J29" s="295">
        <v>140</v>
      </c>
      <c r="K29" s="290">
        <v>146.15</v>
      </c>
      <c r="L29" s="147">
        <v>0.18</v>
      </c>
      <c r="M29" s="147">
        <f t="shared" si="0"/>
        <v>123.86</v>
      </c>
      <c r="N29" s="147">
        <f t="shared" si="1"/>
        <v>17340.400000000001</v>
      </c>
      <c r="O29" s="148">
        <f t="shared" si="2"/>
        <v>3121.27</v>
      </c>
    </row>
    <row r="30" spans="1:15" ht="30">
      <c r="A30" s="241">
        <f>+A29+1</f>
        <v>16</v>
      </c>
      <c r="B30" s="292" t="s">
        <v>307</v>
      </c>
      <c r="C30" s="204"/>
      <c r="D30" s="204"/>
      <c r="E30" s="237"/>
      <c r="F30" s="248">
        <v>0.18</v>
      </c>
      <c r="G30" s="238"/>
      <c r="H30" s="249" t="s">
        <v>308</v>
      </c>
      <c r="I30" s="295" t="s">
        <v>309</v>
      </c>
      <c r="J30" s="293">
        <v>90</v>
      </c>
      <c r="K30" s="290">
        <v>18.149999999999999</v>
      </c>
      <c r="L30" s="147">
        <v>0.18</v>
      </c>
      <c r="M30" s="147">
        <f t="shared" si="0"/>
        <v>15.38</v>
      </c>
      <c r="N30" s="147">
        <f t="shared" si="1"/>
        <v>1384.2</v>
      </c>
      <c r="O30" s="148">
        <f t="shared" si="2"/>
        <v>249.16</v>
      </c>
    </row>
    <row r="31" spans="1:15" ht="90">
      <c r="A31" s="241">
        <f>+A30+1</f>
        <v>17</v>
      </c>
      <c r="B31" s="292" t="s">
        <v>310</v>
      </c>
      <c r="C31" s="204"/>
      <c r="D31" s="204"/>
      <c r="E31" s="237"/>
      <c r="F31" s="248">
        <v>0.18</v>
      </c>
      <c r="G31" s="238"/>
      <c r="H31" s="249" t="s">
        <v>311</v>
      </c>
      <c r="I31" s="293" t="s">
        <v>306</v>
      </c>
      <c r="J31" s="293">
        <v>140</v>
      </c>
      <c r="K31" s="290">
        <v>749.3</v>
      </c>
      <c r="L31" s="147">
        <v>0.18</v>
      </c>
      <c r="M31" s="147">
        <f t="shared" si="0"/>
        <v>635</v>
      </c>
      <c r="N31" s="147">
        <f t="shared" si="1"/>
        <v>88900</v>
      </c>
      <c r="O31" s="148">
        <f t="shared" si="2"/>
        <v>16002</v>
      </c>
    </row>
    <row r="32" spans="1:15">
      <c r="A32" s="241"/>
      <c r="B32" s="292"/>
      <c r="C32" s="204"/>
      <c r="D32" s="204"/>
      <c r="E32" s="237"/>
      <c r="F32" s="248">
        <v>0.18</v>
      </c>
      <c r="G32" s="238"/>
      <c r="H32" s="306" t="s">
        <v>312</v>
      </c>
      <c r="I32" s="293"/>
      <c r="J32" s="293"/>
      <c r="K32" s="290"/>
      <c r="L32" s="147">
        <v>0.18</v>
      </c>
      <c r="M32" s="147"/>
      <c r="N32" s="147"/>
      <c r="O32" s="148"/>
    </row>
    <row r="33" spans="1:15" ht="30">
      <c r="A33" s="241">
        <f>A31+1</f>
        <v>18</v>
      </c>
      <c r="B33" s="292" t="s">
        <v>313</v>
      </c>
      <c r="C33" s="204"/>
      <c r="D33" s="204"/>
      <c r="E33" s="237"/>
      <c r="F33" s="248">
        <v>0.18</v>
      </c>
      <c r="G33" s="238"/>
      <c r="H33" s="249" t="s">
        <v>314</v>
      </c>
      <c r="I33" s="293"/>
      <c r="J33" s="293"/>
      <c r="K33" s="290"/>
      <c r="L33" s="147">
        <v>0.18</v>
      </c>
      <c r="M33" s="147"/>
      <c r="N33" s="147"/>
      <c r="O33" s="148"/>
    </row>
    <row r="34" spans="1:15">
      <c r="A34" s="241">
        <f t="shared" ref="A34:A47" si="4">+A33+1</f>
        <v>19</v>
      </c>
      <c r="B34" s="292" t="s">
        <v>315</v>
      </c>
      <c r="C34" s="204"/>
      <c r="D34" s="204"/>
      <c r="E34" s="237"/>
      <c r="F34" s="248">
        <v>0.18</v>
      </c>
      <c r="G34" s="238"/>
      <c r="H34" s="249" t="s">
        <v>316</v>
      </c>
      <c r="I34" s="293" t="s">
        <v>306</v>
      </c>
      <c r="J34" s="293">
        <v>135</v>
      </c>
      <c r="K34" s="290">
        <v>392.15</v>
      </c>
      <c r="L34" s="147">
        <v>0.18</v>
      </c>
      <c r="M34" s="147">
        <f t="shared" si="0"/>
        <v>332.33</v>
      </c>
      <c r="N34" s="147">
        <f t="shared" si="1"/>
        <v>44864.55</v>
      </c>
      <c r="O34" s="148">
        <f t="shared" si="2"/>
        <v>8075.62</v>
      </c>
    </row>
    <row r="35" spans="1:15" ht="30">
      <c r="A35" s="241">
        <f t="shared" si="4"/>
        <v>20</v>
      </c>
      <c r="B35" s="292" t="s">
        <v>317</v>
      </c>
      <c r="C35" s="204"/>
      <c r="D35" s="204"/>
      <c r="E35" s="237"/>
      <c r="F35" s="248">
        <v>0.18</v>
      </c>
      <c r="G35" s="238"/>
      <c r="H35" s="249" t="s">
        <v>318</v>
      </c>
      <c r="I35" s="293" t="s">
        <v>306</v>
      </c>
      <c r="J35" s="293">
        <v>13</v>
      </c>
      <c r="K35" s="290">
        <v>842.5</v>
      </c>
      <c r="L35" s="147">
        <v>0.18</v>
      </c>
      <c r="M35" s="147">
        <f t="shared" si="0"/>
        <v>713.98</v>
      </c>
      <c r="N35" s="147">
        <f t="shared" si="1"/>
        <v>9281.74</v>
      </c>
      <c r="O35" s="148">
        <f t="shared" si="2"/>
        <v>1670.71</v>
      </c>
    </row>
    <row r="36" spans="1:15">
      <c r="A36" s="241">
        <f t="shared" si="4"/>
        <v>21</v>
      </c>
      <c r="B36" s="292" t="s">
        <v>319</v>
      </c>
      <c r="C36" s="204"/>
      <c r="D36" s="204"/>
      <c r="E36" s="237"/>
      <c r="F36" s="248">
        <v>0.18</v>
      </c>
      <c r="G36" s="238"/>
      <c r="H36" s="249" t="s">
        <v>320</v>
      </c>
      <c r="I36" s="293" t="s">
        <v>306</v>
      </c>
      <c r="J36" s="293">
        <v>505</v>
      </c>
      <c r="K36" s="290">
        <v>927.25</v>
      </c>
      <c r="L36" s="147">
        <v>0.18</v>
      </c>
      <c r="M36" s="147">
        <f t="shared" si="0"/>
        <v>785.81</v>
      </c>
      <c r="N36" s="147">
        <f t="shared" si="1"/>
        <v>396834.05</v>
      </c>
      <c r="O36" s="148">
        <f t="shared" si="2"/>
        <v>71430.13</v>
      </c>
    </row>
    <row r="37" spans="1:15">
      <c r="A37" s="241">
        <f t="shared" si="4"/>
        <v>22</v>
      </c>
      <c r="B37" s="292" t="s">
        <v>321</v>
      </c>
      <c r="C37" s="204"/>
      <c r="D37" s="204"/>
      <c r="E37" s="237"/>
      <c r="F37" s="248">
        <v>0.18</v>
      </c>
      <c r="G37" s="238"/>
      <c r="H37" s="249" t="s">
        <v>322</v>
      </c>
      <c r="I37" s="293" t="s">
        <v>306</v>
      </c>
      <c r="J37" s="293">
        <v>1529</v>
      </c>
      <c r="K37" s="290">
        <v>736.4</v>
      </c>
      <c r="L37" s="147">
        <v>0.18</v>
      </c>
      <c r="M37" s="147">
        <f t="shared" si="0"/>
        <v>624.07000000000005</v>
      </c>
      <c r="N37" s="147">
        <f t="shared" si="1"/>
        <v>954203.03</v>
      </c>
      <c r="O37" s="148">
        <f t="shared" si="2"/>
        <v>171756.55</v>
      </c>
    </row>
    <row r="38" spans="1:15">
      <c r="A38" s="241">
        <f t="shared" si="4"/>
        <v>23</v>
      </c>
      <c r="B38" s="292" t="s">
        <v>323</v>
      </c>
      <c r="C38" s="204"/>
      <c r="D38" s="204"/>
      <c r="E38" s="237"/>
      <c r="F38" s="248">
        <v>0.18</v>
      </c>
      <c r="G38" s="238"/>
      <c r="H38" s="249" t="s">
        <v>324</v>
      </c>
      <c r="I38" s="293" t="s">
        <v>306</v>
      </c>
      <c r="J38" s="293">
        <v>942</v>
      </c>
      <c r="K38" s="290">
        <v>961.3</v>
      </c>
      <c r="L38" s="147">
        <v>0.18</v>
      </c>
      <c r="M38" s="147">
        <f t="shared" si="0"/>
        <v>814.66</v>
      </c>
      <c r="N38" s="147">
        <f t="shared" si="1"/>
        <v>767409.72</v>
      </c>
      <c r="O38" s="148">
        <f t="shared" si="2"/>
        <v>138133.75</v>
      </c>
    </row>
    <row r="39" spans="1:15">
      <c r="A39" s="241">
        <f t="shared" si="4"/>
        <v>24</v>
      </c>
      <c r="B39" s="292" t="s">
        <v>325</v>
      </c>
      <c r="C39" s="204"/>
      <c r="D39" s="204"/>
      <c r="E39" s="237"/>
      <c r="F39" s="248">
        <v>0.18</v>
      </c>
      <c r="G39" s="238"/>
      <c r="H39" s="249" t="s">
        <v>326</v>
      </c>
      <c r="I39" s="293" t="s">
        <v>306</v>
      </c>
      <c r="J39" s="293">
        <v>5</v>
      </c>
      <c r="K39" s="290">
        <v>764.95</v>
      </c>
      <c r="L39" s="147">
        <v>0.18</v>
      </c>
      <c r="M39" s="147">
        <f t="shared" si="0"/>
        <v>648.26</v>
      </c>
      <c r="N39" s="147">
        <f t="shared" si="1"/>
        <v>3241.3</v>
      </c>
      <c r="O39" s="148">
        <f t="shared" si="2"/>
        <v>583.42999999999995</v>
      </c>
    </row>
    <row r="40" spans="1:15">
      <c r="A40" s="241">
        <f t="shared" si="4"/>
        <v>25</v>
      </c>
      <c r="B40" s="292" t="s">
        <v>327</v>
      </c>
      <c r="C40" s="204"/>
      <c r="D40" s="204"/>
      <c r="E40" s="237"/>
      <c r="F40" s="248">
        <v>0.18</v>
      </c>
      <c r="G40" s="238"/>
      <c r="H40" s="249" t="s">
        <v>328</v>
      </c>
      <c r="I40" s="293" t="s">
        <v>306</v>
      </c>
      <c r="J40" s="293">
        <v>43</v>
      </c>
      <c r="K40" s="290">
        <v>951.1</v>
      </c>
      <c r="L40" s="147">
        <v>0.18</v>
      </c>
      <c r="M40" s="147">
        <f t="shared" si="0"/>
        <v>806.02</v>
      </c>
      <c r="N40" s="147">
        <f t="shared" si="1"/>
        <v>34658.86</v>
      </c>
      <c r="O40" s="148">
        <f t="shared" si="2"/>
        <v>6238.59</v>
      </c>
    </row>
    <row r="41" spans="1:15" ht="124.5" customHeight="1">
      <c r="A41" s="241">
        <f t="shared" si="4"/>
        <v>26</v>
      </c>
      <c r="B41" s="292" t="s">
        <v>329</v>
      </c>
      <c r="C41" s="204"/>
      <c r="D41" s="204"/>
      <c r="E41" s="237"/>
      <c r="F41" s="248">
        <v>0.18</v>
      </c>
      <c r="G41" s="238"/>
      <c r="H41" s="249" t="s">
        <v>330</v>
      </c>
      <c r="I41" s="293" t="s">
        <v>272</v>
      </c>
      <c r="J41" s="293">
        <v>1</v>
      </c>
      <c r="K41" s="290">
        <v>20355.8</v>
      </c>
      <c r="L41" s="147">
        <v>0.18</v>
      </c>
      <c r="M41" s="147">
        <f t="shared" si="0"/>
        <v>17250.68</v>
      </c>
      <c r="N41" s="147">
        <f t="shared" si="1"/>
        <v>17250.68</v>
      </c>
      <c r="O41" s="148">
        <f t="shared" si="2"/>
        <v>3105.12</v>
      </c>
    </row>
    <row r="42" spans="1:15" ht="45">
      <c r="A42" s="241">
        <f t="shared" si="4"/>
        <v>27</v>
      </c>
      <c r="B42" s="292" t="s">
        <v>331</v>
      </c>
      <c r="C42" s="204"/>
      <c r="D42" s="204"/>
      <c r="E42" s="237"/>
      <c r="F42" s="248">
        <v>0.18</v>
      </c>
      <c r="G42" s="238"/>
      <c r="H42" s="249" t="s">
        <v>332</v>
      </c>
      <c r="I42" s="293" t="s">
        <v>333</v>
      </c>
      <c r="J42" s="293">
        <v>19434</v>
      </c>
      <c r="K42" s="290">
        <v>107.85</v>
      </c>
      <c r="L42" s="147">
        <v>0.18</v>
      </c>
      <c r="M42" s="147">
        <f t="shared" si="0"/>
        <v>91.4</v>
      </c>
      <c r="N42" s="147">
        <f t="shared" si="1"/>
        <v>1776267.6</v>
      </c>
      <c r="O42" s="148">
        <f t="shared" si="2"/>
        <v>319728.17</v>
      </c>
    </row>
    <row r="43" spans="1:15" ht="45">
      <c r="A43" s="241">
        <f t="shared" si="4"/>
        <v>28</v>
      </c>
      <c r="B43" s="292" t="s">
        <v>334</v>
      </c>
      <c r="C43" s="204"/>
      <c r="D43" s="204"/>
      <c r="E43" s="237"/>
      <c r="F43" s="248">
        <v>0.18</v>
      </c>
      <c r="G43" s="238"/>
      <c r="H43" s="249" t="s">
        <v>335</v>
      </c>
      <c r="I43" s="293" t="s">
        <v>333</v>
      </c>
      <c r="J43" s="293">
        <v>32175</v>
      </c>
      <c r="K43" s="290">
        <v>107.85</v>
      </c>
      <c r="L43" s="147">
        <v>0.18</v>
      </c>
      <c r="M43" s="147">
        <f t="shared" si="0"/>
        <v>91.4</v>
      </c>
      <c r="N43" s="147">
        <f t="shared" si="1"/>
        <v>2940795</v>
      </c>
      <c r="O43" s="148">
        <f t="shared" si="2"/>
        <v>529343.1</v>
      </c>
    </row>
    <row r="44" spans="1:15" ht="30">
      <c r="A44" s="241">
        <f t="shared" si="4"/>
        <v>29</v>
      </c>
      <c r="B44" s="292" t="s">
        <v>336</v>
      </c>
      <c r="C44" s="204"/>
      <c r="D44" s="204"/>
      <c r="E44" s="237"/>
      <c r="F44" s="248">
        <v>0.18</v>
      </c>
      <c r="G44" s="238"/>
      <c r="H44" s="249" t="s">
        <v>337</v>
      </c>
      <c r="I44" s="293" t="s">
        <v>284</v>
      </c>
      <c r="J44" s="293">
        <v>133</v>
      </c>
      <c r="K44" s="290">
        <v>78.400000000000006</v>
      </c>
      <c r="L44" s="147">
        <v>0.18</v>
      </c>
      <c r="M44" s="147">
        <f t="shared" si="0"/>
        <v>66.44</v>
      </c>
      <c r="N44" s="147">
        <f t="shared" si="1"/>
        <v>8836.52</v>
      </c>
      <c r="O44" s="148">
        <f t="shared" si="2"/>
        <v>1590.57</v>
      </c>
    </row>
    <row r="45" spans="1:15" ht="255">
      <c r="A45" s="241">
        <f t="shared" si="4"/>
        <v>30</v>
      </c>
      <c r="B45" s="292" t="s">
        <v>338</v>
      </c>
      <c r="C45" s="204"/>
      <c r="D45" s="204"/>
      <c r="E45" s="237"/>
      <c r="F45" s="248">
        <v>0.18</v>
      </c>
      <c r="G45" s="238"/>
      <c r="H45" s="249" t="s">
        <v>339</v>
      </c>
      <c r="I45" s="293" t="s">
        <v>272</v>
      </c>
      <c r="J45" s="293">
        <v>150</v>
      </c>
      <c r="K45" s="290">
        <v>9504.75</v>
      </c>
      <c r="L45" s="147">
        <v>0.18</v>
      </c>
      <c r="M45" s="147">
        <f t="shared" si="0"/>
        <v>8054.87</v>
      </c>
      <c r="N45" s="147">
        <f t="shared" si="1"/>
        <v>1208230.5</v>
      </c>
      <c r="O45" s="148">
        <f t="shared" si="2"/>
        <v>217481.49</v>
      </c>
    </row>
    <row r="46" spans="1:15" ht="255">
      <c r="A46" s="241">
        <f t="shared" si="4"/>
        <v>31</v>
      </c>
      <c r="B46" s="292" t="s">
        <v>340</v>
      </c>
      <c r="C46" s="204"/>
      <c r="D46" s="204"/>
      <c r="E46" s="237"/>
      <c r="F46" s="248">
        <v>0.18</v>
      </c>
      <c r="G46" s="238"/>
      <c r="H46" s="249" t="s">
        <v>341</v>
      </c>
      <c r="I46" s="293" t="s">
        <v>272</v>
      </c>
      <c r="J46" s="293">
        <v>248</v>
      </c>
      <c r="K46" s="290">
        <v>9860.4</v>
      </c>
      <c r="L46" s="147">
        <v>0.18</v>
      </c>
      <c r="M46" s="147">
        <f t="shared" si="0"/>
        <v>8356.27</v>
      </c>
      <c r="N46" s="147">
        <f t="shared" si="1"/>
        <v>2072354.96</v>
      </c>
      <c r="O46" s="148">
        <f t="shared" si="2"/>
        <v>373023.89</v>
      </c>
    </row>
    <row r="47" spans="1:15" ht="30">
      <c r="A47" s="241">
        <f t="shared" si="4"/>
        <v>32</v>
      </c>
      <c r="B47" s="292" t="s">
        <v>342</v>
      </c>
      <c r="C47" s="204"/>
      <c r="D47" s="204"/>
      <c r="E47" s="237"/>
      <c r="F47" s="248">
        <v>0.18</v>
      </c>
      <c r="G47" s="238"/>
      <c r="H47" s="249" t="s">
        <v>343</v>
      </c>
      <c r="I47" s="293" t="s">
        <v>344</v>
      </c>
      <c r="J47" s="293">
        <v>278</v>
      </c>
      <c r="K47" s="290">
        <v>733.5</v>
      </c>
      <c r="L47" s="147">
        <v>0.18</v>
      </c>
      <c r="M47" s="147">
        <f t="shared" si="0"/>
        <v>621.61</v>
      </c>
      <c r="N47" s="147">
        <f t="shared" si="1"/>
        <v>172807.58</v>
      </c>
      <c r="O47" s="148">
        <f t="shared" si="2"/>
        <v>31105.360000000001</v>
      </c>
    </row>
    <row r="48" spans="1:15">
      <c r="A48" s="241"/>
      <c r="B48" s="292"/>
      <c r="C48" s="204"/>
      <c r="D48" s="204"/>
      <c r="E48" s="237"/>
      <c r="F48" s="248">
        <v>0.18</v>
      </c>
      <c r="G48" s="238"/>
      <c r="H48" s="306" t="s">
        <v>345</v>
      </c>
      <c r="I48" s="293"/>
      <c r="J48" s="293"/>
      <c r="K48" s="290"/>
      <c r="L48" s="147">
        <v>0.18</v>
      </c>
      <c r="M48" s="147">
        <f t="shared" si="0"/>
        <v>0</v>
      </c>
      <c r="N48" s="147">
        <f t="shared" si="1"/>
        <v>0</v>
      </c>
      <c r="O48" s="148">
        <f t="shared" si="2"/>
        <v>0</v>
      </c>
    </row>
    <row r="49" spans="1:15" ht="30">
      <c r="A49" s="241">
        <f>+A47+1</f>
        <v>33</v>
      </c>
      <c r="B49" s="292" t="s">
        <v>346</v>
      </c>
      <c r="C49" s="204"/>
      <c r="D49" s="204"/>
      <c r="E49" s="237"/>
      <c r="F49" s="248">
        <v>0.18</v>
      </c>
      <c r="G49" s="238"/>
      <c r="H49" s="249" t="s">
        <v>347</v>
      </c>
      <c r="I49" s="293" t="s">
        <v>306</v>
      </c>
      <c r="J49" s="293">
        <v>86</v>
      </c>
      <c r="K49" s="290">
        <v>104.8</v>
      </c>
      <c r="L49" s="147">
        <v>0.18</v>
      </c>
      <c r="M49" s="147">
        <f t="shared" si="0"/>
        <v>88.81</v>
      </c>
      <c r="N49" s="147">
        <f t="shared" si="1"/>
        <v>7637.66</v>
      </c>
      <c r="O49" s="148">
        <f t="shared" si="2"/>
        <v>1374.78</v>
      </c>
    </row>
    <row r="50" spans="1:15">
      <c r="A50" s="241"/>
      <c r="B50" s="292"/>
      <c r="C50" s="204"/>
      <c r="D50" s="204"/>
      <c r="E50" s="237"/>
      <c r="F50" s="248">
        <v>0.18</v>
      </c>
      <c r="G50" s="238"/>
      <c r="H50" s="306" t="s">
        <v>348</v>
      </c>
      <c r="I50" s="293"/>
      <c r="J50" s="293"/>
      <c r="K50" s="290"/>
      <c r="L50" s="147">
        <v>0.18</v>
      </c>
      <c r="M50" s="147"/>
      <c r="N50" s="147"/>
      <c r="O50" s="148"/>
    </row>
    <row r="51" spans="1:15" ht="135">
      <c r="A51" s="241">
        <f>+A49+1</f>
        <v>34</v>
      </c>
      <c r="B51" s="292" t="s">
        <v>349</v>
      </c>
      <c r="C51" s="204"/>
      <c r="D51" s="204"/>
      <c r="E51" s="237"/>
      <c r="F51" s="248">
        <v>0.18</v>
      </c>
      <c r="G51" s="238"/>
      <c r="H51" s="249" t="s">
        <v>350</v>
      </c>
      <c r="I51" s="293" t="s">
        <v>306</v>
      </c>
      <c r="J51" s="293">
        <v>21</v>
      </c>
      <c r="K51" s="290">
        <v>5413.5</v>
      </c>
      <c r="L51" s="147">
        <v>0.18</v>
      </c>
      <c r="M51" s="147">
        <f t="shared" si="0"/>
        <v>4587.71</v>
      </c>
      <c r="N51" s="147">
        <f t="shared" si="1"/>
        <v>96341.91</v>
      </c>
      <c r="O51" s="148">
        <f t="shared" si="2"/>
        <v>17341.54</v>
      </c>
    </row>
    <row r="52" spans="1:15" ht="135">
      <c r="A52" s="241">
        <f>+A51+1</f>
        <v>35</v>
      </c>
      <c r="B52" s="292" t="s">
        <v>351</v>
      </c>
      <c r="C52" s="204"/>
      <c r="D52" s="204"/>
      <c r="E52" s="237"/>
      <c r="F52" s="248">
        <v>0.18</v>
      </c>
      <c r="G52" s="238"/>
      <c r="H52" s="249" t="s">
        <v>352</v>
      </c>
      <c r="I52" s="293" t="s">
        <v>306</v>
      </c>
      <c r="J52" s="293">
        <v>16</v>
      </c>
      <c r="K52" s="290">
        <v>5136.3</v>
      </c>
      <c r="L52" s="147">
        <v>0.18</v>
      </c>
      <c r="M52" s="147">
        <f t="shared" si="0"/>
        <v>4352.8</v>
      </c>
      <c r="N52" s="147">
        <f t="shared" si="1"/>
        <v>69644.800000000003</v>
      </c>
      <c r="O52" s="148">
        <f t="shared" si="2"/>
        <v>12536.06</v>
      </c>
    </row>
    <row r="53" spans="1:15" ht="45">
      <c r="A53" s="241">
        <f>+A52+1</f>
        <v>36</v>
      </c>
      <c r="B53" s="292" t="s">
        <v>353</v>
      </c>
      <c r="C53" s="204"/>
      <c r="D53" s="204"/>
      <c r="E53" s="237"/>
      <c r="F53" s="248">
        <v>0.18</v>
      </c>
      <c r="G53" s="238"/>
      <c r="H53" s="249" t="s">
        <v>354</v>
      </c>
      <c r="I53" s="293" t="s">
        <v>284</v>
      </c>
      <c r="J53" s="293">
        <v>154</v>
      </c>
      <c r="K53" s="290">
        <v>510.95</v>
      </c>
      <c r="L53" s="147">
        <v>0.18</v>
      </c>
      <c r="M53" s="147">
        <f t="shared" si="0"/>
        <v>433.01</v>
      </c>
      <c r="N53" s="147">
        <f t="shared" si="1"/>
        <v>66683.539999999994</v>
      </c>
      <c r="O53" s="148">
        <f t="shared" si="2"/>
        <v>12003.04</v>
      </c>
    </row>
    <row r="54" spans="1:15" ht="45">
      <c r="A54" s="241">
        <f>+A53+1</f>
        <v>37</v>
      </c>
      <c r="B54" s="292" t="s">
        <v>355</v>
      </c>
      <c r="C54" s="204"/>
      <c r="D54" s="204"/>
      <c r="E54" s="237"/>
      <c r="F54" s="248">
        <v>0.18</v>
      </c>
      <c r="G54" s="238"/>
      <c r="H54" s="249" t="s">
        <v>356</v>
      </c>
      <c r="I54" s="293" t="s">
        <v>284</v>
      </c>
      <c r="J54" s="293">
        <v>8</v>
      </c>
      <c r="K54" s="290">
        <v>568.54999999999995</v>
      </c>
      <c r="L54" s="147">
        <v>0.18</v>
      </c>
      <c r="M54" s="147">
        <f t="shared" si="0"/>
        <v>481.82</v>
      </c>
      <c r="N54" s="147">
        <f t="shared" si="1"/>
        <v>3854.56</v>
      </c>
      <c r="O54" s="148">
        <f t="shared" si="2"/>
        <v>693.82</v>
      </c>
    </row>
    <row r="55" spans="1:15" ht="60">
      <c r="A55" s="241">
        <f>+A54+1</f>
        <v>38</v>
      </c>
      <c r="B55" s="292" t="s">
        <v>357</v>
      </c>
      <c r="C55" s="204"/>
      <c r="D55" s="204"/>
      <c r="E55" s="237"/>
      <c r="F55" s="248">
        <v>0.18</v>
      </c>
      <c r="G55" s="238"/>
      <c r="H55" s="249" t="s">
        <v>358</v>
      </c>
      <c r="I55" s="293" t="s">
        <v>359</v>
      </c>
      <c r="J55" s="293">
        <v>4</v>
      </c>
      <c r="K55" s="290">
        <v>978.7</v>
      </c>
      <c r="L55" s="147">
        <v>0.18</v>
      </c>
      <c r="M55" s="147">
        <f t="shared" si="0"/>
        <v>829.41</v>
      </c>
      <c r="N55" s="147">
        <f t="shared" si="1"/>
        <v>3317.64</v>
      </c>
      <c r="O55" s="148">
        <f t="shared" si="2"/>
        <v>597.17999999999995</v>
      </c>
    </row>
    <row r="56" spans="1:15">
      <c r="A56" s="241"/>
      <c r="B56" s="292"/>
      <c r="C56" s="204"/>
      <c r="D56" s="204"/>
      <c r="E56" s="237"/>
      <c r="F56" s="248">
        <v>0.18</v>
      </c>
      <c r="G56" s="238"/>
      <c r="H56" s="306" t="s">
        <v>360</v>
      </c>
      <c r="I56" s="293"/>
      <c r="J56" s="293"/>
      <c r="K56" s="290"/>
      <c r="L56" s="147">
        <v>0.18</v>
      </c>
      <c r="M56" s="147"/>
      <c r="N56" s="147"/>
      <c r="O56" s="148"/>
    </row>
    <row r="57" spans="1:15" ht="63">
      <c r="A57" s="241">
        <f>+A55+1</f>
        <v>39</v>
      </c>
      <c r="B57" s="320" t="s">
        <v>361</v>
      </c>
      <c r="C57" s="204"/>
      <c r="D57" s="204"/>
      <c r="E57" s="237"/>
      <c r="F57" s="248">
        <v>0.18</v>
      </c>
      <c r="G57" s="238"/>
      <c r="H57" s="318" t="s">
        <v>362</v>
      </c>
      <c r="I57" s="293" t="s">
        <v>272</v>
      </c>
      <c r="J57" s="293">
        <v>4</v>
      </c>
      <c r="K57" s="290">
        <v>176.4</v>
      </c>
      <c r="L57" s="147">
        <v>0.18</v>
      </c>
      <c r="M57" s="147">
        <f t="shared" si="0"/>
        <v>149.49</v>
      </c>
      <c r="N57" s="147">
        <f t="shared" si="1"/>
        <v>597.96</v>
      </c>
      <c r="O57" s="148">
        <f t="shared" si="2"/>
        <v>107.63</v>
      </c>
    </row>
    <row r="58" spans="1:15" ht="63">
      <c r="A58" s="241">
        <f t="shared" ref="A58:A65" si="5">+A57+1</f>
        <v>40</v>
      </c>
      <c r="B58" s="320" t="s">
        <v>363</v>
      </c>
      <c r="C58" s="204"/>
      <c r="D58" s="204"/>
      <c r="E58" s="237"/>
      <c r="F58" s="248">
        <v>0.18</v>
      </c>
      <c r="G58" s="238"/>
      <c r="H58" s="319" t="s">
        <v>364</v>
      </c>
      <c r="I58" s="293" t="s">
        <v>306</v>
      </c>
      <c r="J58" s="293">
        <v>95</v>
      </c>
      <c r="K58" s="290">
        <v>238.35</v>
      </c>
      <c r="L58" s="147">
        <v>0.18</v>
      </c>
      <c r="M58" s="147">
        <f t="shared" si="0"/>
        <v>201.99</v>
      </c>
      <c r="N58" s="147">
        <f t="shared" si="1"/>
        <v>19189.05</v>
      </c>
      <c r="O58" s="148">
        <f t="shared" si="2"/>
        <v>3454.03</v>
      </c>
    </row>
    <row r="59" spans="1:15" ht="47.25">
      <c r="A59" s="241">
        <f t="shared" si="5"/>
        <v>41</v>
      </c>
      <c r="B59" s="320" t="s">
        <v>365</v>
      </c>
      <c r="C59" s="204"/>
      <c r="D59" s="204"/>
      <c r="E59" s="237"/>
      <c r="F59" s="248">
        <v>0.18</v>
      </c>
      <c r="G59" s="238"/>
      <c r="H59" s="319" t="s">
        <v>366</v>
      </c>
      <c r="I59" s="296" t="s">
        <v>306</v>
      </c>
      <c r="J59" s="296">
        <v>4</v>
      </c>
      <c r="K59" s="290">
        <v>106.35</v>
      </c>
      <c r="L59" s="147">
        <v>0.18</v>
      </c>
      <c r="M59" s="147">
        <f t="shared" si="0"/>
        <v>90.13</v>
      </c>
      <c r="N59" s="147">
        <f t="shared" si="1"/>
        <v>360.52</v>
      </c>
      <c r="O59" s="148">
        <f t="shared" si="2"/>
        <v>64.89</v>
      </c>
    </row>
    <row r="60" spans="1:15" ht="63">
      <c r="A60" s="241">
        <f t="shared" si="5"/>
        <v>42</v>
      </c>
      <c r="B60" s="320" t="s">
        <v>367</v>
      </c>
      <c r="C60" s="204"/>
      <c r="D60" s="204"/>
      <c r="E60" s="237"/>
      <c r="F60" s="248">
        <v>0.18</v>
      </c>
      <c r="G60" s="238"/>
      <c r="H60" s="319" t="s">
        <v>368</v>
      </c>
      <c r="I60" s="293" t="s">
        <v>306</v>
      </c>
      <c r="J60" s="293">
        <v>4</v>
      </c>
      <c r="K60" s="290">
        <v>278.25</v>
      </c>
      <c r="L60" s="147">
        <v>0.18</v>
      </c>
      <c r="M60" s="147">
        <f t="shared" si="0"/>
        <v>235.81</v>
      </c>
      <c r="N60" s="147">
        <f t="shared" si="1"/>
        <v>943.24</v>
      </c>
      <c r="O60" s="148">
        <f t="shared" si="2"/>
        <v>169.78</v>
      </c>
    </row>
    <row r="61" spans="1:15" ht="63">
      <c r="A61" s="241">
        <f t="shared" si="5"/>
        <v>43</v>
      </c>
      <c r="B61" s="320" t="s">
        <v>369</v>
      </c>
      <c r="C61" s="204"/>
      <c r="D61" s="204"/>
      <c r="E61" s="237"/>
      <c r="F61" s="248">
        <v>0.18</v>
      </c>
      <c r="G61" s="238"/>
      <c r="H61" s="319" t="s">
        <v>370</v>
      </c>
      <c r="I61" s="293" t="s">
        <v>306</v>
      </c>
      <c r="J61" s="293">
        <v>6</v>
      </c>
      <c r="K61" s="290">
        <v>308</v>
      </c>
      <c r="L61" s="147">
        <v>0.18</v>
      </c>
      <c r="M61" s="147">
        <f t="shared" si="0"/>
        <v>261.02</v>
      </c>
      <c r="N61" s="147">
        <f t="shared" si="1"/>
        <v>1566.12</v>
      </c>
      <c r="O61" s="148">
        <f t="shared" si="2"/>
        <v>281.89999999999998</v>
      </c>
    </row>
    <row r="62" spans="1:15" ht="63">
      <c r="A62" s="241">
        <f t="shared" si="5"/>
        <v>44</v>
      </c>
      <c r="B62" s="320" t="s">
        <v>371</v>
      </c>
      <c r="C62" s="204"/>
      <c r="D62" s="204"/>
      <c r="E62" s="237"/>
      <c r="F62" s="248">
        <v>0.18</v>
      </c>
      <c r="G62" s="238"/>
      <c r="H62" s="319" t="s">
        <v>372</v>
      </c>
      <c r="I62" s="293" t="s">
        <v>306</v>
      </c>
      <c r="J62" s="293">
        <v>22</v>
      </c>
      <c r="K62" s="290">
        <v>854.65</v>
      </c>
      <c r="L62" s="147">
        <v>0.18</v>
      </c>
      <c r="M62" s="147">
        <f t="shared" si="0"/>
        <v>724.28</v>
      </c>
      <c r="N62" s="147">
        <f t="shared" si="1"/>
        <v>15934.16</v>
      </c>
      <c r="O62" s="148">
        <f t="shared" si="2"/>
        <v>2868.15</v>
      </c>
    </row>
    <row r="63" spans="1:15" ht="63">
      <c r="A63" s="241">
        <f t="shared" si="5"/>
        <v>45</v>
      </c>
      <c r="B63" s="320" t="s">
        <v>373</v>
      </c>
      <c r="C63" s="204"/>
      <c r="D63" s="204"/>
      <c r="E63" s="237"/>
      <c r="F63" s="248">
        <v>0.18</v>
      </c>
      <c r="G63" s="238"/>
      <c r="H63" s="319" t="s">
        <v>374</v>
      </c>
      <c r="I63" s="293" t="s">
        <v>306</v>
      </c>
      <c r="J63" s="293">
        <v>12</v>
      </c>
      <c r="K63" s="290">
        <v>256.64999999999998</v>
      </c>
      <c r="L63" s="147">
        <v>0.18</v>
      </c>
      <c r="M63" s="147">
        <f t="shared" si="0"/>
        <v>217.5</v>
      </c>
      <c r="N63" s="147">
        <f t="shared" si="1"/>
        <v>2610</v>
      </c>
      <c r="O63" s="148">
        <f t="shared" si="2"/>
        <v>469.8</v>
      </c>
    </row>
    <row r="64" spans="1:15" ht="63">
      <c r="A64" s="241">
        <f t="shared" si="5"/>
        <v>46</v>
      </c>
      <c r="B64" s="320" t="s">
        <v>375</v>
      </c>
      <c r="C64" s="204"/>
      <c r="D64" s="204"/>
      <c r="E64" s="237"/>
      <c r="F64" s="248">
        <v>0.18</v>
      </c>
      <c r="G64" s="238"/>
      <c r="H64" s="319" t="s">
        <v>376</v>
      </c>
      <c r="I64" s="293" t="s">
        <v>333</v>
      </c>
      <c r="J64" s="293">
        <v>12</v>
      </c>
      <c r="K64" s="290">
        <v>121.65</v>
      </c>
      <c r="L64" s="147">
        <v>0.18</v>
      </c>
      <c r="M64" s="147">
        <f t="shared" si="0"/>
        <v>103.09</v>
      </c>
      <c r="N64" s="147">
        <f t="shared" si="1"/>
        <v>1237.08</v>
      </c>
      <c r="O64" s="148">
        <f t="shared" si="2"/>
        <v>222.67</v>
      </c>
    </row>
    <row r="65" spans="1:15" ht="78.75">
      <c r="A65" s="241">
        <f t="shared" si="5"/>
        <v>47</v>
      </c>
      <c r="B65" s="320" t="s">
        <v>377</v>
      </c>
      <c r="C65" s="204"/>
      <c r="D65" s="204"/>
      <c r="E65" s="237"/>
      <c r="F65" s="248">
        <v>0.18</v>
      </c>
      <c r="G65" s="238"/>
      <c r="H65" s="319" t="s">
        <v>378</v>
      </c>
      <c r="I65" s="294" t="s">
        <v>359</v>
      </c>
      <c r="J65" s="294">
        <v>22</v>
      </c>
      <c r="K65" s="290">
        <v>983.15</v>
      </c>
      <c r="L65" s="147">
        <v>0.18</v>
      </c>
      <c r="M65" s="147">
        <f t="shared" si="0"/>
        <v>833.18</v>
      </c>
      <c r="N65" s="147">
        <f t="shared" si="1"/>
        <v>18329.96</v>
      </c>
      <c r="O65" s="148">
        <f t="shared" si="2"/>
        <v>3299.39</v>
      </c>
    </row>
    <row r="66" spans="1:15">
      <c r="A66" s="241"/>
      <c r="B66" s="292"/>
      <c r="C66" s="204"/>
      <c r="D66" s="204"/>
      <c r="E66" s="237"/>
      <c r="F66" s="248">
        <v>0.18</v>
      </c>
      <c r="G66" s="238"/>
      <c r="H66" s="306" t="s">
        <v>379</v>
      </c>
      <c r="I66" s="293"/>
      <c r="J66" s="293"/>
      <c r="K66" s="290"/>
      <c r="L66" s="147"/>
      <c r="M66" s="147"/>
      <c r="N66" s="147"/>
      <c r="O66" s="148"/>
    </row>
    <row r="67" spans="1:15" ht="60">
      <c r="A67" s="241">
        <f>+A65+1</f>
        <v>48</v>
      </c>
      <c r="B67" s="292" t="s">
        <v>380</v>
      </c>
      <c r="C67" s="204"/>
      <c r="D67" s="204"/>
      <c r="E67" s="237"/>
      <c r="F67" s="248">
        <v>0.18</v>
      </c>
      <c r="G67" s="238"/>
      <c r="H67" s="249" t="s">
        <v>381</v>
      </c>
      <c r="I67" s="293" t="s">
        <v>333</v>
      </c>
      <c r="J67" s="293">
        <v>13551</v>
      </c>
      <c r="K67" s="290">
        <v>206.35</v>
      </c>
      <c r="L67" s="147">
        <v>0.18</v>
      </c>
      <c r="M67" s="147">
        <f t="shared" ref="M67:M115" si="6">ROUND(K67/(1+L67),2)</f>
        <v>174.87</v>
      </c>
      <c r="N67" s="147">
        <f t="shared" ref="N67:N115" si="7">ROUND(M67*J67,2)</f>
        <v>2369663.37</v>
      </c>
      <c r="O67" s="148">
        <f t="shared" ref="O67:O115" si="8">ROUND(N67*18%,2)</f>
        <v>426539.41</v>
      </c>
    </row>
    <row r="68" spans="1:15" ht="75">
      <c r="A68" s="241">
        <f>+A67+1</f>
        <v>49</v>
      </c>
      <c r="B68" s="292" t="s">
        <v>382</v>
      </c>
      <c r="C68" s="204"/>
      <c r="D68" s="204"/>
      <c r="E68" s="237"/>
      <c r="F68" s="248">
        <v>0.18</v>
      </c>
      <c r="G68" s="238"/>
      <c r="H68" s="249" t="s">
        <v>383</v>
      </c>
      <c r="I68" s="293" t="s">
        <v>333</v>
      </c>
      <c r="J68" s="293">
        <v>698</v>
      </c>
      <c r="K68" s="290">
        <v>172.6</v>
      </c>
      <c r="L68" s="147">
        <v>0.18</v>
      </c>
      <c r="M68" s="147">
        <f t="shared" si="6"/>
        <v>146.27000000000001</v>
      </c>
      <c r="N68" s="147">
        <f t="shared" si="7"/>
        <v>102096.46</v>
      </c>
      <c r="O68" s="148">
        <f t="shared" si="8"/>
        <v>18377.36</v>
      </c>
    </row>
    <row r="69" spans="1:15" ht="150">
      <c r="A69" s="241">
        <f>+A68+1</f>
        <v>50</v>
      </c>
      <c r="B69" s="292" t="s">
        <v>384</v>
      </c>
      <c r="C69" s="204"/>
      <c r="D69" s="204"/>
      <c r="E69" s="237"/>
      <c r="F69" s="248">
        <v>0.18</v>
      </c>
      <c r="G69" s="238"/>
      <c r="H69" s="249" t="s">
        <v>385</v>
      </c>
      <c r="I69" s="293" t="s">
        <v>333</v>
      </c>
      <c r="J69" s="293">
        <v>197</v>
      </c>
      <c r="K69" s="290">
        <v>772.4</v>
      </c>
      <c r="L69" s="147">
        <v>0.18</v>
      </c>
      <c r="M69" s="147">
        <f t="shared" si="6"/>
        <v>654.58000000000004</v>
      </c>
      <c r="N69" s="147">
        <f t="shared" si="7"/>
        <v>128952.26</v>
      </c>
      <c r="O69" s="148">
        <f t="shared" si="8"/>
        <v>23211.41</v>
      </c>
    </row>
    <row r="70" spans="1:15">
      <c r="A70" s="241"/>
      <c r="B70" s="292"/>
      <c r="C70" s="204"/>
      <c r="D70" s="204"/>
      <c r="E70" s="237"/>
      <c r="F70" s="248">
        <v>0.18</v>
      </c>
      <c r="G70" s="238"/>
      <c r="H70" s="306" t="s">
        <v>386</v>
      </c>
      <c r="I70" s="293"/>
      <c r="J70" s="293"/>
      <c r="K70" s="290"/>
      <c r="L70" s="147">
        <v>0.18</v>
      </c>
      <c r="M70" s="147"/>
      <c r="N70" s="147"/>
      <c r="O70" s="148"/>
    </row>
    <row r="71" spans="1:15" ht="63">
      <c r="A71" s="241">
        <f>+A69+1</f>
        <v>51</v>
      </c>
      <c r="B71" s="320" t="s">
        <v>387</v>
      </c>
      <c r="C71" s="204"/>
      <c r="D71" s="204"/>
      <c r="E71" s="237"/>
      <c r="F71" s="248">
        <v>0.18</v>
      </c>
      <c r="G71" s="238"/>
      <c r="H71" s="319" t="s">
        <v>388</v>
      </c>
      <c r="I71" s="293" t="s">
        <v>306</v>
      </c>
      <c r="J71" s="293">
        <v>309</v>
      </c>
      <c r="K71" s="290">
        <v>614.20000000000005</v>
      </c>
      <c r="L71" s="147">
        <v>0.18</v>
      </c>
      <c r="M71" s="147">
        <f t="shared" si="6"/>
        <v>520.51</v>
      </c>
      <c r="N71" s="147">
        <f t="shared" si="7"/>
        <v>160837.59</v>
      </c>
      <c r="O71" s="148">
        <f t="shared" si="8"/>
        <v>28950.77</v>
      </c>
    </row>
    <row r="72" spans="1:15" ht="90">
      <c r="A72" s="241">
        <f t="shared" ref="A72:A77" si="9">+A71+1</f>
        <v>52</v>
      </c>
      <c r="B72" s="292" t="s">
        <v>389</v>
      </c>
      <c r="C72" s="204"/>
      <c r="D72" s="204"/>
      <c r="E72" s="237"/>
      <c r="F72" s="248">
        <v>0.18</v>
      </c>
      <c r="G72" s="238"/>
      <c r="H72" s="249" t="s">
        <v>390</v>
      </c>
      <c r="I72" s="293" t="s">
        <v>306</v>
      </c>
      <c r="J72" s="293">
        <v>39</v>
      </c>
      <c r="K72" s="290">
        <v>1096.55</v>
      </c>
      <c r="L72" s="147">
        <v>0.18</v>
      </c>
      <c r="M72" s="147">
        <f t="shared" si="6"/>
        <v>929.28</v>
      </c>
      <c r="N72" s="147">
        <f t="shared" si="7"/>
        <v>36241.919999999998</v>
      </c>
      <c r="O72" s="148">
        <f t="shared" si="8"/>
        <v>6523.55</v>
      </c>
    </row>
    <row r="73" spans="1:15" ht="105">
      <c r="A73" s="241">
        <f t="shared" si="9"/>
        <v>53</v>
      </c>
      <c r="B73" s="292" t="s">
        <v>391</v>
      </c>
      <c r="C73" s="204"/>
      <c r="D73" s="204"/>
      <c r="E73" s="237"/>
      <c r="F73" s="248">
        <v>0.18</v>
      </c>
      <c r="G73" s="238"/>
      <c r="H73" s="249" t="s">
        <v>392</v>
      </c>
      <c r="I73" s="293" t="s">
        <v>306</v>
      </c>
      <c r="J73" s="293">
        <v>149</v>
      </c>
      <c r="K73" s="290">
        <v>1112.7</v>
      </c>
      <c r="L73" s="147">
        <v>0.18</v>
      </c>
      <c r="M73" s="147">
        <f t="shared" si="6"/>
        <v>942.97</v>
      </c>
      <c r="N73" s="147">
        <f t="shared" si="7"/>
        <v>140502.53</v>
      </c>
      <c r="O73" s="148">
        <f t="shared" si="8"/>
        <v>25290.46</v>
      </c>
    </row>
    <row r="74" spans="1:15" ht="165">
      <c r="A74" s="241">
        <f t="shared" si="9"/>
        <v>54</v>
      </c>
      <c r="B74" s="292" t="s">
        <v>393</v>
      </c>
      <c r="C74" s="204"/>
      <c r="D74" s="204"/>
      <c r="E74" s="237"/>
      <c r="F74" s="248">
        <v>0.18</v>
      </c>
      <c r="G74" s="238"/>
      <c r="H74" s="249" t="s">
        <v>394</v>
      </c>
      <c r="I74" s="293" t="s">
        <v>306</v>
      </c>
      <c r="J74" s="293">
        <v>82</v>
      </c>
      <c r="K74" s="290">
        <v>1502.75</v>
      </c>
      <c r="L74" s="147">
        <v>0.18</v>
      </c>
      <c r="M74" s="147">
        <f t="shared" si="6"/>
        <v>1273.52</v>
      </c>
      <c r="N74" s="147">
        <f t="shared" si="7"/>
        <v>104428.64</v>
      </c>
      <c r="O74" s="148">
        <f t="shared" si="8"/>
        <v>18797.16</v>
      </c>
    </row>
    <row r="75" spans="1:15" ht="173.25">
      <c r="A75" s="241">
        <f t="shared" si="9"/>
        <v>55</v>
      </c>
      <c r="B75" s="292" t="s">
        <v>395</v>
      </c>
      <c r="C75" s="204"/>
      <c r="D75" s="204"/>
      <c r="E75" s="237"/>
      <c r="F75" s="248">
        <v>0.18</v>
      </c>
      <c r="G75" s="238"/>
      <c r="H75" s="319" t="s">
        <v>396</v>
      </c>
      <c r="I75" s="293" t="s">
        <v>306</v>
      </c>
      <c r="J75" s="293">
        <v>336</v>
      </c>
      <c r="K75" s="290">
        <v>1798.8</v>
      </c>
      <c r="L75" s="147">
        <v>0.18</v>
      </c>
      <c r="M75" s="147">
        <f t="shared" si="6"/>
        <v>1524.41</v>
      </c>
      <c r="N75" s="147">
        <f t="shared" si="7"/>
        <v>512201.76</v>
      </c>
      <c r="O75" s="148">
        <f t="shared" si="8"/>
        <v>92196.32</v>
      </c>
    </row>
    <row r="76" spans="1:15" ht="162.75" customHeight="1">
      <c r="A76" s="241">
        <f t="shared" si="9"/>
        <v>56</v>
      </c>
      <c r="B76" s="292" t="s">
        <v>397</v>
      </c>
      <c r="C76" s="204"/>
      <c r="D76" s="204"/>
      <c r="E76" s="237"/>
      <c r="F76" s="248">
        <v>0.18</v>
      </c>
      <c r="G76" s="238"/>
      <c r="H76" s="319" t="s">
        <v>398</v>
      </c>
      <c r="I76" s="293" t="s">
        <v>306</v>
      </c>
      <c r="J76" s="293">
        <v>125</v>
      </c>
      <c r="K76" s="290">
        <v>3186.7</v>
      </c>
      <c r="L76" s="147">
        <v>0.18</v>
      </c>
      <c r="M76" s="147">
        <f t="shared" si="6"/>
        <v>2700.59</v>
      </c>
      <c r="N76" s="147">
        <f t="shared" si="7"/>
        <v>337573.75</v>
      </c>
      <c r="O76" s="148">
        <f t="shared" si="8"/>
        <v>60763.28</v>
      </c>
    </row>
    <row r="77" spans="1:15" ht="126">
      <c r="A77" s="241">
        <f t="shared" si="9"/>
        <v>57</v>
      </c>
      <c r="B77" s="292" t="s">
        <v>399</v>
      </c>
      <c r="C77" s="204"/>
      <c r="D77" s="204"/>
      <c r="E77" s="237"/>
      <c r="F77" s="248">
        <v>0.18</v>
      </c>
      <c r="G77" s="238"/>
      <c r="H77" s="319" t="s">
        <v>400</v>
      </c>
      <c r="I77" s="293" t="s">
        <v>306</v>
      </c>
      <c r="J77" s="293">
        <v>47</v>
      </c>
      <c r="K77" s="290">
        <v>4481.3</v>
      </c>
      <c r="L77" s="147">
        <v>0.18</v>
      </c>
      <c r="M77" s="147">
        <f t="shared" si="6"/>
        <v>3797.71</v>
      </c>
      <c r="N77" s="147">
        <f t="shared" si="7"/>
        <v>178492.37</v>
      </c>
      <c r="O77" s="148">
        <f t="shared" si="8"/>
        <v>32128.63</v>
      </c>
    </row>
    <row r="78" spans="1:15">
      <c r="A78" s="241"/>
      <c r="B78" s="292"/>
      <c r="C78" s="204"/>
      <c r="D78" s="204"/>
      <c r="E78" s="237"/>
      <c r="F78" s="248">
        <v>0.18</v>
      </c>
      <c r="G78" s="238"/>
      <c r="H78" s="301" t="s">
        <v>401</v>
      </c>
      <c r="I78" s="293"/>
      <c r="J78" s="293"/>
      <c r="K78" s="290"/>
      <c r="L78" s="147">
        <v>0.18</v>
      </c>
      <c r="M78" s="147"/>
      <c r="N78" s="147"/>
      <c r="O78" s="148"/>
    </row>
    <row r="79" spans="1:15" ht="60">
      <c r="A79" s="241">
        <f>+A77+1</f>
        <v>58</v>
      </c>
      <c r="B79" s="292" t="s">
        <v>402</v>
      </c>
      <c r="C79" s="204"/>
      <c r="D79" s="204"/>
      <c r="E79" s="237"/>
      <c r="F79" s="248">
        <v>0.18</v>
      </c>
      <c r="G79" s="238"/>
      <c r="H79" s="249" t="s">
        <v>403</v>
      </c>
      <c r="I79" s="293" t="s">
        <v>284</v>
      </c>
      <c r="J79" s="293">
        <v>46</v>
      </c>
      <c r="K79" s="290">
        <v>377.4</v>
      </c>
      <c r="L79" s="147">
        <v>0.18</v>
      </c>
      <c r="M79" s="147">
        <f t="shared" si="6"/>
        <v>319.83</v>
      </c>
      <c r="N79" s="147">
        <f t="shared" si="7"/>
        <v>14712.18</v>
      </c>
      <c r="O79" s="148">
        <f t="shared" si="8"/>
        <v>2648.19</v>
      </c>
    </row>
    <row r="80" spans="1:15" ht="60">
      <c r="A80" s="241">
        <f>+A79+1</f>
        <v>59</v>
      </c>
      <c r="B80" s="292" t="s">
        <v>404</v>
      </c>
      <c r="C80" s="204"/>
      <c r="D80" s="204"/>
      <c r="E80" s="237"/>
      <c r="F80" s="248">
        <v>0.18</v>
      </c>
      <c r="G80" s="238"/>
      <c r="H80" s="249" t="s">
        <v>405</v>
      </c>
      <c r="I80" s="293"/>
      <c r="J80" s="296"/>
      <c r="K80" s="322"/>
      <c r="L80" s="147"/>
      <c r="M80" s="147"/>
      <c r="N80" s="147"/>
      <c r="O80" s="148"/>
    </row>
    <row r="81" spans="1:15">
      <c r="A81" s="241">
        <f>+A79+1</f>
        <v>59</v>
      </c>
      <c r="B81" s="292" t="s">
        <v>406</v>
      </c>
      <c r="C81" s="204"/>
      <c r="D81" s="204"/>
      <c r="E81" s="237"/>
      <c r="F81" s="248">
        <v>0.18</v>
      </c>
      <c r="G81" s="238"/>
      <c r="H81" s="249" t="s">
        <v>407</v>
      </c>
      <c r="I81" s="293" t="s">
        <v>359</v>
      </c>
      <c r="J81" s="293">
        <v>20</v>
      </c>
      <c r="K81" s="290">
        <v>136.15</v>
      </c>
      <c r="L81" s="147">
        <v>0.18</v>
      </c>
      <c r="M81" s="147">
        <f t="shared" si="6"/>
        <v>115.38</v>
      </c>
      <c r="N81" s="147">
        <f t="shared" si="7"/>
        <v>2307.6</v>
      </c>
      <c r="O81" s="148">
        <f t="shared" si="8"/>
        <v>415.37</v>
      </c>
    </row>
    <row r="82" spans="1:15">
      <c r="A82" s="241">
        <f t="shared" ref="A82:A88" si="10">+A81+1</f>
        <v>60</v>
      </c>
      <c r="B82" s="292" t="s">
        <v>408</v>
      </c>
      <c r="C82" s="204"/>
      <c r="D82" s="204"/>
      <c r="E82" s="237"/>
      <c r="F82" s="248">
        <v>0.18</v>
      </c>
      <c r="G82" s="238"/>
      <c r="H82" s="249" t="s">
        <v>409</v>
      </c>
      <c r="I82" s="293" t="s">
        <v>359</v>
      </c>
      <c r="J82" s="293">
        <v>14</v>
      </c>
      <c r="K82" s="290">
        <v>234.15</v>
      </c>
      <c r="L82" s="147">
        <v>0.18</v>
      </c>
      <c r="M82" s="147">
        <f t="shared" si="6"/>
        <v>198.43</v>
      </c>
      <c r="N82" s="147">
        <f t="shared" si="7"/>
        <v>2778.02</v>
      </c>
      <c r="O82" s="148">
        <f t="shared" si="8"/>
        <v>500.04</v>
      </c>
    </row>
    <row r="83" spans="1:15">
      <c r="A83" s="241">
        <f t="shared" si="10"/>
        <v>61</v>
      </c>
      <c r="B83" s="292" t="s">
        <v>410</v>
      </c>
      <c r="C83" s="204"/>
      <c r="D83" s="204"/>
      <c r="E83" s="237"/>
      <c r="F83" s="248">
        <v>0.18</v>
      </c>
      <c r="G83" s="238"/>
      <c r="H83" s="249" t="s">
        <v>411</v>
      </c>
      <c r="I83" s="293" t="s">
        <v>359</v>
      </c>
      <c r="J83" s="293">
        <v>14</v>
      </c>
      <c r="K83" s="290">
        <v>150.35</v>
      </c>
      <c r="L83" s="147">
        <v>0.18</v>
      </c>
      <c r="M83" s="147">
        <f t="shared" si="6"/>
        <v>127.42</v>
      </c>
      <c r="N83" s="147">
        <f t="shared" si="7"/>
        <v>1783.88</v>
      </c>
      <c r="O83" s="148">
        <f t="shared" si="8"/>
        <v>321.10000000000002</v>
      </c>
    </row>
    <row r="84" spans="1:15">
      <c r="A84" s="241">
        <f t="shared" si="10"/>
        <v>62</v>
      </c>
      <c r="B84" s="292" t="s">
        <v>412</v>
      </c>
      <c r="C84" s="204"/>
      <c r="D84" s="204"/>
      <c r="E84" s="237"/>
      <c r="F84" s="248">
        <v>0.18</v>
      </c>
      <c r="G84" s="238"/>
      <c r="H84" s="249" t="s">
        <v>413</v>
      </c>
      <c r="I84" s="293" t="s">
        <v>359</v>
      </c>
      <c r="J84" s="293">
        <v>14</v>
      </c>
      <c r="K84" s="290">
        <v>131.85</v>
      </c>
      <c r="L84" s="147">
        <v>0.18</v>
      </c>
      <c r="M84" s="147">
        <f t="shared" si="6"/>
        <v>111.74</v>
      </c>
      <c r="N84" s="147">
        <f t="shared" si="7"/>
        <v>1564.36</v>
      </c>
      <c r="O84" s="148">
        <f t="shared" si="8"/>
        <v>281.58</v>
      </c>
    </row>
    <row r="85" spans="1:15" ht="75">
      <c r="A85" s="241">
        <f t="shared" si="10"/>
        <v>63</v>
      </c>
      <c r="B85" s="292" t="s">
        <v>414</v>
      </c>
      <c r="C85" s="204"/>
      <c r="D85" s="204"/>
      <c r="E85" s="237"/>
      <c r="F85" s="248">
        <v>0.18</v>
      </c>
      <c r="G85" s="238"/>
      <c r="H85" s="249" t="s">
        <v>415</v>
      </c>
      <c r="I85" s="293" t="s">
        <v>359</v>
      </c>
      <c r="J85" s="293">
        <v>78</v>
      </c>
      <c r="K85" s="290">
        <v>371.3</v>
      </c>
      <c r="L85" s="147">
        <v>0.18</v>
      </c>
      <c r="M85" s="147">
        <f t="shared" si="6"/>
        <v>314.66000000000003</v>
      </c>
      <c r="N85" s="147">
        <f t="shared" si="7"/>
        <v>24543.48</v>
      </c>
      <c r="O85" s="148">
        <f t="shared" si="8"/>
        <v>4417.83</v>
      </c>
    </row>
    <row r="86" spans="1:15" ht="409.5">
      <c r="A86" s="241">
        <f t="shared" si="10"/>
        <v>64</v>
      </c>
      <c r="B86" s="292" t="s">
        <v>416</v>
      </c>
      <c r="C86" s="204"/>
      <c r="D86" s="204"/>
      <c r="E86" s="237"/>
      <c r="F86" s="248">
        <v>0.18</v>
      </c>
      <c r="G86" s="238"/>
      <c r="H86" s="249" t="s">
        <v>417</v>
      </c>
      <c r="I86" s="293" t="s">
        <v>303</v>
      </c>
      <c r="J86" s="293">
        <v>281</v>
      </c>
      <c r="K86" s="290">
        <v>1529.1</v>
      </c>
      <c r="L86" s="147">
        <v>0.18</v>
      </c>
      <c r="M86" s="147">
        <f t="shared" si="6"/>
        <v>1295.8499999999999</v>
      </c>
      <c r="N86" s="147">
        <f t="shared" si="7"/>
        <v>364133.85</v>
      </c>
      <c r="O86" s="148">
        <f t="shared" si="8"/>
        <v>65544.09</v>
      </c>
    </row>
    <row r="87" spans="1:15" ht="45">
      <c r="A87" s="241">
        <f t="shared" si="10"/>
        <v>65</v>
      </c>
      <c r="B87" s="292" t="s">
        <v>418</v>
      </c>
      <c r="C87" s="204"/>
      <c r="D87" s="204"/>
      <c r="E87" s="237"/>
      <c r="F87" s="248">
        <v>0.18</v>
      </c>
      <c r="G87" s="238"/>
      <c r="H87" s="249" t="s">
        <v>419</v>
      </c>
      <c r="I87" s="295" t="s">
        <v>359</v>
      </c>
      <c r="J87" s="295">
        <v>12</v>
      </c>
      <c r="K87" s="290">
        <v>84.55</v>
      </c>
      <c r="L87" s="147">
        <v>0.18</v>
      </c>
      <c r="M87" s="147">
        <f t="shared" si="6"/>
        <v>71.650000000000006</v>
      </c>
      <c r="N87" s="147">
        <f t="shared" si="7"/>
        <v>859.8</v>
      </c>
      <c r="O87" s="148">
        <f t="shared" si="8"/>
        <v>154.76</v>
      </c>
    </row>
    <row r="88" spans="1:15" ht="190.5" customHeight="1">
      <c r="A88" s="241">
        <f t="shared" si="10"/>
        <v>66</v>
      </c>
      <c r="B88" s="292">
        <v>12.5</v>
      </c>
      <c r="C88" s="204"/>
      <c r="D88" s="204"/>
      <c r="E88" s="237"/>
      <c r="F88" s="248">
        <v>0.18</v>
      </c>
      <c r="G88" s="238"/>
      <c r="H88" s="249" t="s">
        <v>420</v>
      </c>
      <c r="I88" s="295" t="s">
        <v>306</v>
      </c>
      <c r="J88" s="295">
        <v>358</v>
      </c>
      <c r="K88" s="290">
        <v>738.65</v>
      </c>
      <c r="L88" s="147">
        <v>0.18</v>
      </c>
      <c r="M88" s="147">
        <f t="shared" si="6"/>
        <v>625.97</v>
      </c>
      <c r="N88" s="147">
        <f t="shared" si="7"/>
        <v>224097.26</v>
      </c>
      <c r="O88" s="148">
        <f t="shared" si="8"/>
        <v>40337.51</v>
      </c>
    </row>
    <row r="89" spans="1:15">
      <c r="A89" s="241"/>
      <c r="B89" s="292"/>
      <c r="C89" s="204"/>
      <c r="D89" s="204"/>
      <c r="E89" s="237"/>
      <c r="F89" s="248"/>
      <c r="G89" s="238"/>
      <c r="H89" s="306" t="s">
        <v>421</v>
      </c>
      <c r="I89" s="293"/>
      <c r="J89" s="293"/>
      <c r="K89" s="290"/>
      <c r="L89" s="147">
        <v>0.18</v>
      </c>
      <c r="M89" s="147"/>
      <c r="N89" s="147"/>
      <c r="O89" s="148"/>
    </row>
    <row r="90" spans="1:15">
      <c r="A90" s="241">
        <f>+A88+1</f>
        <v>67</v>
      </c>
      <c r="B90" s="292" t="s">
        <v>422</v>
      </c>
      <c r="C90" s="204"/>
      <c r="D90" s="204"/>
      <c r="E90" s="237"/>
      <c r="F90" s="248">
        <v>0.18</v>
      </c>
      <c r="G90" s="238"/>
      <c r="H90" s="249" t="s">
        <v>423</v>
      </c>
      <c r="I90" s="293" t="s">
        <v>306</v>
      </c>
      <c r="J90" s="293">
        <v>2274</v>
      </c>
      <c r="K90" s="290">
        <v>343.65</v>
      </c>
      <c r="L90" s="147">
        <v>0.18</v>
      </c>
      <c r="M90" s="147">
        <f t="shared" si="6"/>
        <v>291.23</v>
      </c>
      <c r="N90" s="147">
        <f t="shared" si="7"/>
        <v>662257.02</v>
      </c>
      <c r="O90" s="148">
        <f t="shared" si="8"/>
        <v>119206.26</v>
      </c>
    </row>
    <row r="91" spans="1:15" ht="30">
      <c r="A91" s="241">
        <f t="shared" ref="A91:A101" si="11">+A90+1</f>
        <v>68</v>
      </c>
      <c r="B91" s="292" t="s">
        <v>424</v>
      </c>
      <c r="C91" s="204"/>
      <c r="D91" s="204"/>
      <c r="E91" s="237"/>
      <c r="F91" s="248">
        <v>0.18</v>
      </c>
      <c r="G91" s="238"/>
      <c r="H91" s="249" t="s">
        <v>425</v>
      </c>
      <c r="I91" s="293" t="s">
        <v>306</v>
      </c>
      <c r="J91" s="293">
        <v>203</v>
      </c>
      <c r="K91" s="290">
        <v>395.35</v>
      </c>
      <c r="L91" s="147">
        <v>0.18</v>
      </c>
      <c r="M91" s="147">
        <f t="shared" si="6"/>
        <v>335.04</v>
      </c>
      <c r="N91" s="147">
        <f t="shared" si="7"/>
        <v>68013.119999999995</v>
      </c>
      <c r="O91" s="148">
        <f t="shared" si="8"/>
        <v>12242.36</v>
      </c>
    </row>
    <row r="92" spans="1:15" ht="30">
      <c r="A92" s="241">
        <f t="shared" si="11"/>
        <v>69</v>
      </c>
      <c r="B92" s="292" t="s">
        <v>426</v>
      </c>
      <c r="C92" s="204"/>
      <c r="D92" s="204"/>
      <c r="E92" s="237"/>
      <c r="F92" s="248">
        <v>0.18</v>
      </c>
      <c r="G92" s="238"/>
      <c r="H92" s="249" t="s">
        <v>427</v>
      </c>
      <c r="I92" s="293" t="s">
        <v>306</v>
      </c>
      <c r="J92" s="293">
        <v>108</v>
      </c>
      <c r="K92" s="290">
        <v>449.55</v>
      </c>
      <c r="L92" s="147">
        <v>0.18</v>
      </c>
      <c r="M92" s="147">
        <f t="shared" si="6"/>
        <v>380.97</v>
      </c>
      <c r="N92" s="147">
        <f t="shared" si="7"/>
        <v>41144.76</v>
      </c>
      <c r="O92" s="148">
        <f t="shared" si="8"/>
        <v>7406.06</v>
      </c>
    </row>
    <row r="93" spans="1:15" ht="45">
      <c r="A93" s="241">
        <f t="shared" si="11"/>
        <v>70</v>
      </c>
      <c r="B93" s="292" t="s">
        <v>428</v>
      </c>
      <c r="C93" s="204"/>
      <c r="D93" s="204"/>
      <c r="E93" s="237"/>
      <c r="F93" s="248">
        <v>0.18</v>
      </c>
      <c r="G93" s="238"/>
      <c r="H93" s="249" t="s">
        <v>429</v>
      </c>
      <c r="I93" s="293" t="s">
        <v>306</v>
      </c>
      <c r="J93" s="293">
        <v>1049</v>
      </c>
      <c r="K93" s="290">
        <v>518.54999999999995</v>
      </c>
      <c r="L93" s="147">
        <v>0.18</v>
      </c>
      <c r="M93" s="147">
        <f t="shared" si="6"/>
        <v>439.45</v>
      </c>
      <c r="N93" s="147">
        <f t="shared" si="7"/>
        <v>460983.05</v>
      </c>
      <c r="O93" s="148">
        <f t="shared" si="8"/>
        <v>82976.95</v>
      </c>
    </row>
    <row r="94" spans="1:15" ht="30">
      <c r="A94" s="241">
        <f t="shared" si="11"/>
        <v>71</v>
      </c>
      <c r="B94" s="292" t="s">
        <v>430</v>
      </c>
      <c r="C94" s="204"/>
      <c r="D94" s="204"/>
      <c r="E94" s="237"/>
      <c r="F94" s="248">
        <v>0.18</v>
      </c>
      <c r="G94" s="238"/>
      <c r="H94" s="249" t="s">
        <v>431</v>
      </c>
      <c r="I94" s="293" t="s">
        <v>306</v>
      </c>
      <c r="J94" s="293">
        <v>755</v>
      </c>
      <c r="K94" s="290">
        <v>300.45</v>
      </c>
      <c r="L94" s="147">
        <v>0.18</v>
      </c>
      <c r="M94" s="147">
        <f t="shared" si="6"/>
        <v>254.62</v>
      </c>
      <c r="N94" s="147">
        <f t="shared" si="7"/>
        <v>192238.1</v>
      </c>
      <c r="O94" s="148">
        <f t="shared" si="8"/>
        <v>34602.86</v>
      </c>
    </row>
    <row r="95" spans="1:15" ht="45">
      <c r="A95" s="241">
        <f t="shared" si="11"/>
        <v>72</v>
      </c>
      <c r="B95" s="292" t="s">
        <v>432</v>
      </c>
      <c r="C95" s="204"/>
      <c r="D95" s="204"/>
      <c r="E95" s="237"/>
      <c r="F95" s="248">
        <v>0.18</v>
      </c>
      <c r="G95" s="238"/>
      <c r="H95" s="249" t="s">
        <v>433</v>
      </c>
      <c r="I95" s="295" t="s">
        <v>434</v>
      </c>
      <c r="J95" s="293">
        <v>132</v>
      </c>
      <c r="K95" s="290">
        <v>22.1</v>
      </c>
      <c r="L95" s="147">
        <v>0.18</v>
      </c>
      <c r="M95" s="147">
        <f t="shared" si="6"/>
        <v>18.73</v>
      </c>
      <c r="N95" s="147">
        <f t="shared" si="7"/>
        <v>2472.36</v>
      </c>
      <c r="O95" s="148">
        <f t="shared" si="8"/>
        <v>445.02</v>
      </c>
    </row>
    <row r="96" spans="1:15" ht="60">
      <c r="A96" s="241">
        <f t="shared" si="11"/>
        <v>73</v>
      </c>
      <c r="B96" s="292" t="s">
        <v>435</v>
      </c>
      <c r="C96" s="204"/>
      <c r="D96" s="204"/>
      <c r="E96" s="237"/>
      <c r="F96" s="248">
        <v>0.18</v>
      </c>
      <c r="G96" s="238"/>
      <c r="H96" s="249" t="s">
        <v>436</v>
      </c>
      <c r="I96" s="293" t="s">
        <v>306</v>
      </c>
      <c r="J96" s="293">
        <v>1127</v>
      </c>
      <c r="K96" s="290">
        <v>171.1</v>
      </c>
      <c r="L96" s="147">
        <v>0.18</v>
      </c>
      <c r="M96" s="147">
        <f t="shared" si="6"/>
        <v>145</v>
      </c>
      <c r="N96" s="147">
        <f t="shared" si="7"/>
        <v>163415</v>
      </c>
      <c r="O96" s="148">
        <f t="shared" si="8"/>
        <v>29414.7</v>
      </c>
    </row>
    <row r="97" spans="1:15" ht="63">
      <c r="A97" s="241">
        <f t="shared" si="11"/>
        <v>74</v>
      </c>
      <c r="B97" s="320" t="s">
        <v>437</v>
      </c>
      <c r="C97" s="204"/>
      <c r="D97" s="204"/>
      <c r="E97" s="237"/>
      <c r="F97" s="248">
        <v>0.18</v>
      </c>
      <c r="G97" s="238"/>
      <c r="H97" s="319" t="s">
        <v>438</v>
      </c>
      <c r="I97" s="293" t="s">
        <v>306</v>
      </c>
      <c r="J97" s="293">
        <v>343</v>
      </c>
      <c r="K97" s="290">
        <v>241.75</v>
      </c>
      <c r="L97" s="147">
        <v>0.18</v>
      </c>
      <c r="M97" s="147">
        <f t="shared" si="6"/>
        <v>204.87</v>
      </c>
      <c r="N97" s="147">
        <f t="shared" si="7"/>
        <v>70270.41</v>
      </c>
      <c r="O97" s="148">
        <f t="shared" si="8"/>
        <v>12648.67</v>
      </c>
    </row>
    <row r="98" spans="1:15" ht="30">
      <c r="A98" s="241">
        <f>+A97+1</f>
        <v>75</v>
      </c>
      <c r="B98" s="292" t="s">
        <v>439</v>
      </c>
      <c r="C98" s="204"/>
      <c r="D98" s="204"/>
      <c r="E98" s="237"/>
      <c r="F98" s="248">
        <v>0.18</v>
      </c>
      <c r="G98" s="238"/>
      <c r="H98" s="289" t="s">
        <v>440</v>
      </c>
      <c r="I98" s="293" t="s">
        <v>306</v>
      </c>
      <c r="J98" s="293">
        <v>30</v>
      </c>
      <c r="K98" s="290">
        <v>155.9</v>
      </c>
      <c r="L98" s="147">
        <v>0.18</v>
      </c>
      <c r="M98" s="147">
        <f t="shared" si="6"/>
        <v>132.12</v>
      </c>
      <c r="N98" s="147">
        <f t="shared" si="7"/>
        <v>3963.6</v>
      </c>
      <c r="O98" s="148">
        <f t="shared" si="8"/>
        <v>713.45</v>
      </c>
    </row>
    <row r="99" spans="1:15" ht="45">
      <c r="A99" s="241">
        <f t="shared" si="11"/>
        <v>76</v>
      </c>
      <c r="B99" s="292" t="s">
        <v>441</v>
      </c>
      <c r="C99" s="204"/>
      <c r="D99" s="204"/>
      <c r="E99" s="237"/>
      <c r="F99" s="248">
        <v>0.18</v>
      </c>
      <c r="G99" s="238"/>
      <c r="H99" s="289" t="s">
        <v>442</v>
      </c>
      <c r="I99" s="293" t="s">
        <v>306</v>
      </c>
      <c r="J99" s="293">
        <v>3153</v>
      </c>
      <c r="K99" s="290">
        <v>156.05000000000001</v>
      </c>
      <c r="L99" s="147">
        <v>0.18</v>
      </c>
      <c r="M99" s="147">
        <f t="shared" si="6"/>
        <v>132.25</v>
      </c>
      <c r="N99" s="147">
        <f t="shared" si="7"/>
        <v>416984.25</v>
      </c>
      <c r="O99" s="148">
        <f t="shared" si="8"/>
        <v>75057.17</v>
      </c>
    </row>
    <row r="100" spans="1:15" ht="75">
      <c r="A100" s="241">
        <f t="shared" si="11"/>
        <v>77</v>
      </c>
      <c r="B100" s="292" t="s">
        <v>443</v>
      </c>
      <c r="C100" s="204"/>
      <c r="D100" s="204"/>
      <c r="E100" s="237"/>
      <c r="F100" s="248">
        <v>0.18</v>
      </c>
      <c r="G100" s="238"/>
      <c r="H100" s="289" t="s">
        <v>444</v>
      </c>
      <c r="I100" s="293" t="s">
        <v>306</v>
      </c>
      <c r="J100" s="293">
        <v>3153</v>
      </c>
      <c r="K100" s="290">
        <v>142.80000000000001</v>
      </c>
      <c r="L100" s="147">
        <v>0.18</v>
      </c>
      <c r="M100" s="147">
        <f t="shared" si="6"/>
        <v>121.02</v>
      </c>
      <c r="N100" s="147">
        <f t="shared" si="7"/>
        <v>381576.06</v>
      </c>
      <c r="O100" s="148">
        <f t="shared" si="8"/>
        <v>68683.69</v>
      </c>
    </row>
    <row r="101" spans="1:15" ht="60">
      <c r="A101" s="241">
        <f t="shared" si="11"/>
        <v>78</v>
      </c>
      <c r="B101" s="292" t="s">
        <v>445</v>
      </c>
      <c r="C101" s="204"/>
      <c r="D101" s="204"/>
      <c r="E101" s="237"/>
      <c r="F101" s="248">
        <v>0.18</v>
      </c>
      <c r="G101" s="238"/>
      <c r="H101" s="289" t="s">
        <v>446</v>
      </c>
      <c r="I101" s="293" t="s">
        <v>306</v>
      </c>
      <c r="J101" s="293">
        <v>3153</v>
      </c>
      <c r="K101" s="290">
        <v>73.95</v>
      </c>
      <c r="L101" s="147">
        <v>0.18</v>
      </c>
      <c r="M101" s="147">
        <f t="shared" si="6"/>
        <v>62.67</v>
      </c>
      <c r="N101" s="147">
        <f t="shared" si="7"/>
        <v>197598.51</v>
      </c>
      <c r="O101" s="148">
        <f t="shared" si="8"/>
        <v>35567.730000000003</v>
      </c>
    </row>
    <row r="102" spans="1:15">
      <c r="A102" s="241"/>
      <c r="B102" s="292"/>
      <c r="C102" s="204"/>
      <c r="D102" s="204"/>
      <c r="E102" s="237"/>
      <c r="F102" s="248"/>
      <c r="G102" s="238"/>
      <c r="H102" s="288" t="s">
        <v>447</v>
      </c>
      <c r="I102" s="293"/>
      <c r="J102" s="293"/>
      <c r="K102" s="290"/>
      <c r="L102" s="147">
        <v>0.18</v>
      </c>
      <c r="M102" s="147"/>
      <c r="N102" s="147"/>
      <c r="O102" s="148"/>
    </row>
    <row r="103" spans="1:15" ht="60">
      <c r="A103" s="241">
        <f>+A101+1</f>
        <v>79</v>
      </c>
      <c r="B103" s="292" t="s">
        <v>448</v>
      </c>
      <c r="C103" s="204"/>
      <c r="D103" s="204"/>
      <c r="E103" s="237"/>
      <c r="F103" s="248">
        <v>0.18</v>
      </c>
      <c r="G103" s="238"/>
      <c r="H103" s="289" t="s">
        <v>449</v>
      </c>
      <c r="I103" s="293" t="s">
        <v>359</v>
      </c>
      <c r="J103" s="293">
        <v>2</v>
      </c>
      <c r="K103" s="290">
        <v>2093</v>
      </c>
      <c r="L103" s="147">
        <v>0.18</v>
      </c>
      <c r="M103" s="147">
        <f t="shared" si="6"/>
        <v>1773.73</v>
      </c>
      <c r="N103" s="147">
        <f t="shared" si="7"/>
        <v>3547.46</v>
      </c>
      <c r="O103" s="148">
        <f t="shared" si="8"/>
        <v>638.54</v>
      </c>
    </row>
    <row r="104" spans="1:15">
      <c r="A104" s="241"/>
      <c r="B104" s="292"/>
      <c r="C104" s="204"/>
      <c r="D104" s="204"/>
      <c r="E104" s="237"/>
      <c r="F104" s="248"/>
      <c r="G104" s="238"/>
      <c r="H104" s="288" t="s">
        <v>450</v>
      </c>
      <c r="I104" s="293"/>
      <c r="J104" s="293"/>
      <c r="K104" s="290"/>
      <c r="L104" s="147">
        <v>0.18</v>
      </c>
      <c r="M104" s="147"/>
      <c r="N104" s="147"/>
      <c r="O104" s="148"/>
    </row>
    <row r="105" spans="1:15" ht="99" customHeight="1">
      <c r="A105" s="241">
        <f>+A103+1</f>
        <v>80</v>
      </c>
      <c r="B105" s="292" t="s">
        <v>451</v>
      </c>
      <c r="C105" s="204"/>
      <c r="D105" s="204"/>
      <c r="E105" s="237"/>
      <c r="F105" s="248">
        <v>0.18</v>
      </c>
      <c r="G105" s="238"/>
      <c r="H105" s="289" t="s">
        <v>452</v>
      </c>
      <c r="I105" s="293"/>
      <c r="J105" s="293"/>
      <c r="K105" s="290"/>
      <c r="L105" s="147">
        <v>0.18</v>
      </c>
      <c r="M105" s="147"/>
      <c r="N105" s="147"/>
      <c r="O105" s="148"/>
    </row>
    <row r="106" spans="1:15">
      <c r="A106" s="241">
        <f>+A105+1</f>
        <v>81</v>
      </c>
      <c r="B106" s="292" t="s">
        <v>453</v>
      </c>
      <c r="C106" s="204"/>
      <c r="D106" s="204"/>
      <c r="E106" s="237"/>
      <c r="F106" s="248">
        <v>0.18</v>
      </c>
      <c r="G106" s="238"/>
      <c r="H106" s="289" t="s">
        <v>454</v>
      </c>
      <c r="I106" s="293" t="s">
        <v>284</v>
      </c>
      <c r="J106" s="293">
        <v>5</v>
      </c>
      <c r="K106" s="290">
        <v>401.55</v>
      </c>
      <c r="L106" s="147">
        <v>0.18</v>
      </c>
      <c r="M106" s="147">
        <f t="shared" si="6"/>
        <v>340.3</v>
      </c>
      <c r="N106" s="147">
        <f t="shared" si="7"/>
        <v>1701.5</v>
      </c>
      <c r="O106" s="148">
        <f t="shared" si="8"/>
        <v>306.27</v>
      </c>
    </row>
    <row r="107" spans="1:15" ht="118.5" customHeight="1">
      <c r="A107" s="241"/>
      <c r="B107" s="292" t="s">
        <v>455</v>
      </c>
      <c r="C107" s="204"/>
      <c r="D107" s="204"/>
      <c r="E107" s="237"/>
      <c r="F107" s="248">
        <v>0.18</v>
      </c>
      <c r="G107" s="238"/>
      <c r="H107" s="289" t="s">
        <v>456</v>
      </c>
      <c r="I107" s="293"/>
      <c r="J107" s="293"/>
      <c r="K107" s="290"/>
      <c r="L107" s="147">
        <v>0.18</v>
      </c>
      <c r="M107" s="147"/>
      <c r="N107" s="147"/>
      <c r="O107" s="148"/>
    </row>
    <row r="108" spans="1:15">
      <c r="A108" s="241">
        <f>+A106+1</f>
        <v>82</v>
      </c>
      <c r="B108" s="292" t="s">
        <v>457</v>
      </c>
      <c r="C108" s="204"/>
      <c r="D108" s="204"/>
      <c r="E108" s="237"/>
      <c r="F108" s="248">
        <v>0.18</v>
      </c>
      <c r="G108" s="238"/>
      <c r="H108" s="289" t="s">
        <v>458</v>
      </c>
      <c r="I108" s="293" t="s">
        <v>284</v>
      </c>
      <c r="J108" s="293">
        <v>6</v>
      </c>
      <c r="K108" s="290">
        <v>497.8</v>
      </c>
      <c r="L108" s="147">
        <v>0.18</v>
      </c>
      <c r="M108" s="147">
        <f t="shared" si="6"/>
        <v>421.86</v>
      </c>
      <c r="N108" s="147">
        <f t="shared" si="7"/>
        <v>2531.16</v>
      </c>
      <c r="O108" s="148">
        <f t="shared" si="8"/>
        <v>455.61</v>
      </c>
    </row>
    <row r="109" spans="1:15">
      <c r="A109" s="241">
        <f>+A108+1</f>
        <v>83</v>
      </c>
      <c r="B109" s="292" t="s">
        <v>459</v>
      </c>
      <c r="C109" s="204"/>
      <c r="D109" s="204"/>
      <c r="E109" s="237"/>
      <c r="F109" s="248">
        <v>0.18</v>
      </c>
      <c r="G109" s="238"/>
      <c r="H109" s="289" t="s">
        <v>460</v>
      </c>
      <c r="I109" s="293" t="s">
        <v>284</v>
      </c>
      <c r="J109" s="293">
        <v>30</v>
      </c>
      <c r="K109" s="290">
        <v>537.6</v>
      </c>
      <c r="L109" s="147">
        <v>0.18</v>
      </c>
      <c r="M109" s="147">
        <f t="shared" si="6"/>
        <v>455.59</v>
      </c>
      <c r="N109" s="147">
        <f t="shared" si="7"/>
        <v>13667.7</v>
      </c>
      <c r="O109" s="148">
        <f t="shared" si="8"/>
        <v>2460.19</v>
      </c>
    </row>
    <row r="110" spans="1:15">
      <c r="A110" s="241">
        <f>+A109+1</f>
        <v>84</v>
      </c>
      <c r="B110" s="292" t="s">
        <v>461</v>
      </c>
      <c r="C110" s="204"/>
      <c r="D110" s="204"/>
      <c r="E110" s="237"/>
      <c r="F110" s="248">
        <v>0.18</v>
      </c>
      <c r="G110" s="238"/>
      <c r="H110" s="289" t="s">
        <v>462</v>
      </c>
      <c r="I110" s="293" t="s">
        <v>284</v>
      </c>
      <c r="J110" s="293">
        <v>30</v>
      </c>
      <c r="K110" s="290">
        <v>627.25</v>
      </c>
      <c r="L110" s="147">
        <v>0.18</v>
      </c>
      <c r="M110" s="147">
        <f t="shared" si="6"/>
        <v>531.57000000000005</v>
      </c>
      <c r="N110" s="147">
        <f t="shared" si="7"/>
        <v>15947.1</v>
      </c>
      <c r="O110" s="148">
        <f t="shared" si="8"/>
        <v>2870.48</v>
      </c>
    </row>
    <row r="111" spans="1:15">
      <c r="A111" s="241">
        <f>+A110+1</f>
        <v>85</v>
      </c>
      <c r="B111" s="292" t="s">
        <v>463</v>
      </c>
      <c r="C111" s="204"/>
      <c r="D111" s="204"/>
      <c r="E111" s="237"/>
      <c r="F111" s="248">
        <v>0.18</v>
      </c>
      <c r="G111" s="238"/>
      <c r="H111" s="289" t="s">
        <v>464</v>
      </c>
      <c r="I111" s="293" t="s">
        <v>284</v>
      </c>
      <c r="J111" s="293">
        <v>18</v>
      </c>
      <c r="K111" s="290">
        <v>739.3</v>
      </c>
      <c r="L111" s="147">
        <v>0.18</v>
      </c>
      <c r="M111" s="147">
        <f t="shared" si="6"/>
        <v>626.53</v>
      </c>
      <c r="N111" s="147">
        <f t="shared" si="7"/>
        <v>11277.54</v>
      </c>
      <c r="O111" s="148">
        <f t="shared" si="8"/>
        <v>2029.96</v>
      </c>
    </row>
    <row r="112" spans="1:15" ht="105">
      <c r="A112" s="241"/>
      <c r="B112" s="292" t="s">
        <v>465</v>
      </c>
      <c r="C112" s="204"/>
      <c r="D112" s="204"/>
      <c r="E112" s="237"/>
      <c r="F112" s="248">
        <v>0.18</v>
      </c>
      <c r="G112" s="238"/>
      <c r="H112" s="289" t="s">
        <v>466</v>
      </c>
      <c r="I112" s="293"/>
      <c r="J112" s="293"/>
      <c r="K112" s="290"/>
      <c r="L112" s="147">
        <v>0.18</v>
      </c>
      <c r="M112" s="147"/>
      <c r="N112" s="147"/>
      <c r="O112" s="148"/>
    </row>
    <row r="113" spans="1:15" ht="30">
      <c r="A113" s="241">
        <f>+A111+1</f>
        <v>86</v>
      </c>
      <c r="B113" s="292" t="s">
        <v>467</v>
      </c>
      <c r="C113" s="204"/>
      <c r="D113" s="204"/>
      <c r="E113" s="237"/>
      <c r="F113" s="248">
        <v>0.18</v>
      </c>
      <c r="G113" s="238"/>
      <c r="H113" s="289" t="s">
        <v>468</v>
      </c>
      <c r="I113" s="293" t="s">
        <v>284</v>
      </c>
      <c r="J113" s="293">
        <v>10</v>
      </c>
      <c r="K113" s="290">
        <v>355.4</v>
      </c>
      <c r="L113" s="147">
        <v>0.18</v>
      </c>
      <c r="M113" s="147">
        <f t="shared" si="6"/>
        <v>301.19</v>
      </c>
      <c r="N113" s="147">
        <f t="shared" si="7"/>
        <v>3011.9</v>
      </c>
      <c r="O113" s="148">
        <f t="shared" si="8"/>
        <v>542.14</v>
      </c>
    </row>
    <row r="114" spans="1:15">
      <c r="A114" s="241">
        <f>+A113+1</f>
        <v>87</v>
      </c>
      <c r="B114" s="292" t="s">
        <v>469</v>
      </c>
      <c r="C114" s="204"/>
      <c r="D114" s="204"/>
      <c r="E114" s="237"/>
      <c r="F114" s="248">
        <v>0.18</v>
      </c>
      <c r="G114" s="238"/>
      <c r="H114" s="289" t="s">
        <v>470</v>
      </c>
      <c r="I114" s="293" t="s">
        <v>284</v>
      </c>
      <c r="J114" s="293">
        <v>10</v>
      </c>
      <c r="K114" s="290">
        <v>438.6</v>
      </c>
      <c r="L114" s="147">
        <v>0.18</v>
      </c>
      <c r="M114" s="147">
        <f t="shared" si="6"/>
        <v>371.69</v>
      </c>
      <c r="N114" s="147">
        <f t="shared" si="7"/>
        <v>3716.9</v>
      </c>
      <c r="O114" s="148">
        <f t="shared" si="8"/>
        <v>669.04</v>
      </c>
    </row>
    <row r="115" spans="1:15">
      <c r="A115" s="241">
        <f>+A114+1</f>
        <v>88</v>
      </c>
      <c r="B115" s="292" t="s">
        <v>471</v>
      </c>
      <c r="C115" s="204"/>
      <c r="D115" s="204"/>
      <c r="E115" s="237"/>
      <c r="F115" s="248">
        <v>0.18</v>
      </c>
      <c r="G115" s="238"/>
      <c r="H115" s="289" t="s">
        <v>472</v>
      </c>
      <c r="I115" s="293" t="s">
        <v>284</v>
      </c>
      <c r="J115" s="293">
        <v>10</v>
      </c>
      <c r="K115" s="290">
        <v>563.04999999999995</v>
      </c>
      <c r="L115" s="147">
        <v>0.18</v>
      </c>
      <c r="M115" s="147">
        <f t="shared" si="6"/>
        <v>477.16</v>
      </c>
      <c r="N115" s="147">
        <f t="shared" si="7"/>
        <v>4771.6000000000004</v>
      </c>
      <c r="O115" s="148">
        <f t="shared" si="8"/>
        <v>858.89</v>
      </c>
    </row>
    <row r="116" spans="1:15" ht="30">
      <c r="A116" s="241">
        <f>+A115+1</f>
        <v>89</v>
      </c>
      <c r="B116" s="292" t="s">
        <v>473</v>
      </c>
      <c r="C116" s="204"/>
      <c r="D116" s="204"/>
      <c r="E116" s="237"/>
      <c r="F116" s="248">
        <v>0.18</v>
      </c>
      <c r="G116" s="238"/>
      <c r="H116" s="289" t="s">
        <v>474</v>
      </c>
      <c r="I116" s="293" t="s">
        <v>284</v>
      </c>
      <c r="J116" s="293">
        <v>20</v>
      </c>
      <c r="K116" s="290">
        <v>794.25</v>
      </c>
      <c r="L116" s="147">
        <v>0.18</v>
      </c>
      <c r="M116" s="147">
        <f t="shared" ref="M116:M135" si="12">ROUND(K116/(1+L116),2)</f>
        <v>673.09</v>
      </c>
      <c r="N116" s="147">
        <f>ROUND(M116*J116,2)</f>
        <v>13461.8</v>
      </c>
      <c r="O116" s="148">
        <f t="shared" ref="O116:O136" si="13">ROUND(N116*18%,2)</f>
        <v>2423.12</v>
      </c>
    </row>
    <row r="117" spans="1:15" ht="60">
      <c r="A117" s="241">
        <f>+A116+1</f>
        <v>90</v>
      </c>
      <c r="B117" s="292" t="s">
        <v>475</v>
      </c>
      <c r="C117" s="204"/>
      <c r="D117" s="204"/>
      <c r="E117" s="237"/>
      <c r="F117" s="248">
        <v>0.18</v>
      </c>
      <c r="G117" s="238"/>
      <c r="H117" s="289" t="s">
        <v>476</v>
      </c>
      <c r="I117" s="293" t="s">
        <v>295</v>
      </c>
      <c r="J117" s="293">
        <v>2000</v>
      </c>
      <c r="K117" s="290">
        <v>11</v>
      </c>
      <c r="L117" s="147">
        <v>0.18</v>
      </c>
      <c r="M117" s="147">
        <f t="shared" si="12"/>
        <v>9.32</v>
      </c>
      <c r="N117" s="147">
        <f>ROUND(M117*J117,2)</f>
        <v>18640</v>
      </c>
      <c r="O117" s="148">
        <f t="shared" si="13"/>
        <v>3355.2</v>
      </c>
    </row>
    <row r="118" spans="1:15" ht="30">
      <c r="A118" s="241">
        <f>+A117+1</f>
        <v>91</v>
      </c>
      <c r="B118" s="292" t="s">
        <v>477</v>
      </c>
      <c r="C118" s="204"/>
      <c r="D118" s="204"/>
      <c r="E118" s="237"/>
      <c r="F118" s="248">
        <v>0.18</v>
      </c>
      <c r="G118" s="238"/>
      <c r="H118" s="289" t="s">
        <v>478</v>
      </c>
      <c r="I118" s="293" t="s">
        <v>359</v>
      </c>
      <c r="J118" s="293">
        <v>30</v>
      </c>
      <c r="K118" s="290">
        <v>74.8</v>
      </c>
      <c r="L118" s="147">
        <v>0.18</v>
      </c>
      <c r="M118" s="147">
        <f t="shared" si="12"/>
        <v>63.39</v>
      </c>
      <c r="N118" s="147">
        <f>ROUND(M118*J118,2)</f>
        <v>1901.7</v>
      </c>
      <c r="O118" s="148">
        <f t="shared" si="13"/>
        <v>342.31</v>
      </c>
    </row>
    <row r="119" spans="1:15">
      <c r="A119" s="241"/>
      <c r="B119" s="292"/>
      <c r="C119" s="204"/>
      <c r="D119" s="204"/>
      <c r="E119" s="237"/>
      <c r="F119" s="248"/>
      <c r="G119" s="238"/>
      <c r="H119" s="288" t="s">
        <v>479</v>
      </c>
      <c r="I119" s="293"/>
      <c r="J119" s="293"/>
      <c r="K119" s="290"/>
      <c r="L119" s="147">
        <v>0.18</v>
      </c>
      <c r="M119" s="147"/>
      <c r="N119" s="147"/>
      <c r="O119" s="148"/>
    </row>
    <row r="120" spans="1:15" ht="90">
      <c r="A120" s="241">
        <f>+A118+1</f>
        <v>92</v>
      </c>
      <c r="B120" s="292" t="s">
        <v>480</v>
      </c>
      <c r="C120" s="204"/>
      <c r="D120" s="204"/>
      <c r="E120" s="237"/>
      <c r="F120" s="248">
        <v>0.18</v>
      </c>
      <c r="G120" s="238"/>
      <c r="H120" s="289" t="s">
        <v>481</v>
      </c>
      <c r="I120" s="293" t="s">
        <v>359</v>
      </c>
      <c r="J120" s="293">
        <v>12</v>
      </c>
      <c r="K120" s="290">
        <v>2707.65</v>
      </c>
      <c r="L120" s="147">
        <v>0.18</v>
      </c>
      <c r="M120" s="147">
        <f t="shared" si="12"/>
        <v>2294.62</v>
      </c>
      <c r="N120" s="147">
        <f>ROUND(M120*J120,2)</f>
        <v>27535.439999999999</v>
      </c>
      <c r="O120" s="148">
        <f t="shared" si="13"/>
        <v>4956.38</v>
      </c>
    </row>
    <row r="121" spans="1:15" ht="45">
      <c r="A121" s="241">
        <f>+A120+1</f>
        <v>93</v>
      </c>
      <c r="B121" s="292" t="s">
        <v>482</v>
      </c>
      <c r="C121" s="204"/>
      <c r="D121" s="204"/>
      <c r="E121" s="237"/>
      <c r="F121" s="248">
        <v>0.18</v>
      </c>
      <c r="G121" s="238"/>
      <c r="H121" s="289" t="s">
        <v>483</v>
      </c>
      <c r="I121" s="293"/>
      <c r="J121" s="293"/>
      <c r="K121" s="290"/>
      <c r="L121" s="147">
        <v>0.18</v>
      </c>
      <c r="M121" s="147"/>
      <c r="N121" s="147"/>
      <c r="O121" s="148"/>
    </row>
    <row r="122" spans="1:15">
      <c r="A122" s="241">
        <f>+A120+1</f>
        <v>93</v>
      </c>
      <c r="B122" s="292" t="s">
        <v>484</v>
      </c>
      <c r="C122" s="204"/>
      <c r="D122" s="204"/>
      <c r="E122" s="237"/>
      <c r="F122" s="248">
        <v>0.18</v>
      </c>
      <c r="G122" s="238"/>
      <c r="H122" s="319" t="s">
        <v>485</v>
      </c>
      <c r="I122" s="293" t="s">
        <v>284</v>
      </c>
      <c r="J122" s="293">
        <v>8</v>
      </c>
      <c r="K122" s="290">
        <v>899.8</v>
      </c>
      <c r="L122" s="147">
        <v>0.18</v>
      </c>
      <c r="M122" s="147">
        <f t="shared" si="12"/>
        <v>762.54</v>
      </c>
      <c r="N122" s="147">
        <f>ROUND(M122*J122,2)</f>
        <v>6100.32</v>
      </c>
      <c r="O122" s="148">
        <f>ROUND(N122*18%,2)</f>
        <v>1098.06</v>
      </c>
    </row>
    <row r="123" spans="1:15">
      <c r="A123" s="241">
        <f>+A120+1</f>
        <v>93</v>
      </c>
      <c r="B123" s="292" t="s">
        <v>486</v>
      </c>
      <c r="C123" s="204"/>
      <c r="D123" s="204"/>
      <c r="E123" s="237"/>
      <c r="F123" s="248">
        <v>0.18</v>
      </c>
      <c r="G123" s="238"/>
      <c r="H123" s="289" t="s">
        <v>487</v>
      </c>
      <c r="I123" s="293" t="s">
        <v>284</v>
      </c>
      <c r="J123" s="293">
        <v>10</v>
      </c>
      <c r="K123" s="290">
        <v>994.3</v>
      </c>
      <c r="L123" s="147">
        <v>0.18</v>
      </c>
      <c r="M123" s="147">
        <f t="shared" si="12"/>
        <v>842.63</v>
      </c>
      <c r="N123" s="147">
        <f>ROUND(M123*J123,2)</f>
        <v>8426.2999999999993</v>
      </c>
      <c r="O123" s="148">
        <f t="shared" si="13"/>
        <v>1516.73</v>
      </c>
    </row>
    <row r="124" spans="1:15">
      <c r="A124" s="241">
        <f>+A123+1</f>
        <v>94</v>
      </c>
      <c r="B124" s="292" t="s">
        <v>488</v>
      </c>
      <c r="C124" s="204"/>
      <c r="D124" s="204"/>
      <c r="E124" s="237"/>
      <c r="F124" s="248">
        <v>0.18</v>
      </c>
      <c r="G124" s="238"/>
      <c r="H124" s="289" t="s">
        <v>489</v>
      </c>
      <c r="I124" s="293" t="s">
        <v>284</v>
      </c>
      <c r="J124" s="293">
        <v>10</v>
      </c>
      <c r="K124" s="290">
        <v>1620.95</v>
      </c>
      <c r="L124" s="147">
        <v>0.18</v>
      </c>
      <c r="M124" s="147">
        <f t="shared" si="12"/>
        <v>1373.69</v>
      </c>
      <c r="N124" s="147">
        <f>ROUND(M124*J124,2)</f>
        <v>13736.9</v>
      </c>
      <c r="O124" s="148">
        <f t="shared" si="13"/>
        <v>2472.64</v>
      </c>
    </row>
    <row r="125" spans="1:15" ht="210">
      <c r="A125" s="241">
        <f>+A124+1</f>
        <v>95</v>
      </c>
      <c r="B125" s="292" t="s">
        <v>490</v>
      </c>
      <c r="C125" s="204"/>
      <c r="D125" s="204"/>
      <c r="E125" s="237"/>
      <c r="F125" s="248">
        <v>0.18</v>
      </c>
      <c r="G125" s="238"/>
      <c r="H125" s="300" t="s">
        <v>491</v>
      </c>
      <c r="I125" s="293" t="s">
        <v>359</v>
      </c>
      <c r="J125" s="293">
        <v>4</v>
      </c>
      <c r="K125" s="290">
        <v>12770.55</v>
      </c>
      <c r="L125" s="147">
        <v>0.18</v>
      </c>
      <c r="M125" s="147">
        <f t="shared" si="12"/>
        <v>10822.5</v>
      </c>
      <c r="N125" s="147">
        <f>ROUND(M125*J125,2)</f>
        <v>43290</v>
      </c>
      <c r="O125" s="148">
        <f t="shared" si="13"/>
        <v>7792.2</v>
      </c>
    </row>
    <row r="126" spans="1:15">
      <c r="A126" s="241"/>
      <c r="B126" s="292"/>
      <c r="C126" s="204"/>
      <c r="D126" s="204"/>
      <c r="E126" s="237"/>
      <c r="F126" s="248"/>
      <c r="G126" s="238"/>
      <c r="H126" s="288" t="s">
        <v>492</v>
      </c>
      <c r="I126" s="293"/>
      <c r="J126" s="293"/>
      <c r="K126" s="290"/>
      <c r="L126" s="147"/>
      <c r="M126" s="147"/>
      <c r="N126" s="147"/>
      <c r="O126" s="148"/>
    </row>
    <row r="127" spans="1:15" ht="195">
      <c r="A127" s="241">
        <f>+A125+1</f>
        <v>96</v>
      </c>
      <c r="B127" s="292" t="s">
        <v>493</v>
      </c>
      <c r="C127" s="204"/>
      <c r="D127" s="204"/>
      <c r="E127" s="237"/>
      <c r="F127" s="248">
        <v>0.18</v>
      </c>
      <c r="G127" s="238"/>
      <c r="H127" s="300" t="s">
        <v>494</v>
      </c>
      <c r="I127" s="293" t="s">
        <v>495</v>
      </c>
      <c r="J127" s="293">
        <v>1067</v>
      </c>
      <c r="K127" s="290">
        <v>530.9</v>
      </c>
      <c r="L127" s="147">
        <v>0.18</v>
      </c>
      <c r="M127" s="147">
        <f t="shared" ref="M127:M132" si="14">ROUND(K127/(1+L127),2)</f>
        <v>449.92</v>
      </c>
      <c r="N127" s="147">
        <f t="shared" ref="N127:N132" si="15">ROUND(M127*J127,2)</f>
        <v>480064.64</v>
      </c>
      <c r="O127" s="148">
        <f t="shared" ref="O127:O132" si="16">ROUND(N127*18%,2)</f>
        <v>86411.64</v>
      </c>
    </row>
    <row r="128" spans="1:15" ht="236.25">
      <c r="A128" s="241">
        <f>+A127+1</f>
        <v>97</v>
      </c>
      <c r="B128" s="292" t="s">
        <v>496</v>
      </c>
      <c r="C128" s="204"/>
      <c r="D128" s="204"/>
      <c r="E128" s="237"/>
      <c r="F128" s="248">
        <v>0.18</v>
      </c>
      <c r="G128" s="238"/>
      <c r="H128" s="319" t="s">
        <v>497</v>
      </c>
      <c r="I128" s="293" t="s">
        <v>495</v>
      </c>
      <c r="J128" s="293">
        <v>424</v>
      </c>
      <c r="K128" s="290">
        <v>634.45000000000005</v>
      </c>
      <c r="L128" s="147">
        <v>0.18</v>
      </c>
      <c r="M128" s="147">
        <f t="shared" si="14"/>
        <v>537.66999999999996</v>
      </c>
      <c r="N128" s="147">
        <f t="shared" si="15"/>
        <v>227972.08</v>
      </c>
      <c r="O128" s="148">
        <f t="shared" si="16"/>
        <v>41034.97</v>
      </c>
    </row>
    <row r="129" spans="1:15" ht="78.75">
      <c r="A129" s="241">
        <f>+A128+1</f>
        <v>98</v>
      </c>
      <c r="B129" s="292" t="s">
        <v>498</v>
      </c>
      <c r="C129" s="204"/>
      <c r="D129" s="204"/>
      <c r="E129" s="237"/>
      <c r="F129" s="248">
        <v>0.18</v>
      </c>
      <c r="G129" s="238"/>
      <c r="H129" s="319" t="s">
        <v>499</v>
      </c>
      <c r="I129" s="321" t="s">
        <v>306</v>
      </c>
      <c r="J129" s="293">
        <v>185</v>
      </c>
      <c r="K129" s="290">
        <v>1505.25</v>
      </c>
      <c r="L129" s="147">
        <v>0.18</v>
      </c>
      <c r="M129" s="147">
        <f t="shared" si="14"/>
        <v>1275.6400000000001</v>
      </c>
      <c r="N129" s="147">
        <f t="shared" si="15"/>
        <v>235993.4</v>
      </c>
      <c r="O129" s="148">
        <f t="shared" si="16"/>
        <v>42478.81</v>
      </c>
    </row>
    <row r="130" spans="1:15" ht="126">
      <c r="A130" s="241">
        <f>+A129+1</f>
        <v>99</v>
      </c>
      <c r="B130" s="292" t="s">
        <v>500</v>
      </c>
      <c r="C130" s="204"/>
      <c r="D130" s="204"/>
      <c r="E130" s="237"/>
      <c r="F130" s="248">
        <v>0.18</v>
      </c>
      <c r="G130" s="238"/>
      <c r="H130" s="319" t="s">
        <v>501</v>
      </c>
      <c r="I130" s="293" t="s">
        <v>359</v>
      </c>
      <c r="J130" s="293">
        <v>23</v>
      </c>
      <c r="K130" s="290">
        <v>2823.85</v>
      </c>
      <c r="L130" s="147">
        <v>0.18</v>
      </c>
      <c r="M130" s="147">
        <f t="shared" si="14"/>
        <v>2393.09</v>
      </c>
      <c r="N130" s="147">
        <f t="shared" si="15"/>
        <v>55041.07</v>
      </c>
      <c r="O130" s="148">
        <f t="shared" si="16"/>
        <v>9907.39</v>
      </c>
    </row>
    <row r="131" spans="1:15" ht="94.5">
      <c r="A131" s="241">
        <f>+A130+1</f>
        <v>100</v>
      </c>
      <c r="B131" s="292" t="s">
        <v>502</v>
      </c>
      <c r="C131" s="204"/>
      <c r="D131" s="204"/>
      <c r="E131" s="237"/>
      <c r="F131" s="248">
        <v>0.18</v>
      </c>
      <c r="G131" s="238"/>
      <c r="H131" s="319" t="s">
        <v>503</v>
      </c>
      <c r="I131" s="293" t="s">
        <v>284</v>
      </c>
      <c r="J131" s="293">
        <v>673</v>
      </c>
      <c r="K131" s="290">
        <v>96.75</v>
      </c>
      <c r="L131" s="147">
        <v>0.18</v>
      </c>
      <c r="M131" s="147">
        <f t="shared" si="14"/>
        <v>81.99</v>
      </c>
      <c r="N131" s="147">
        <f t="shared" si="15"/>
        <v>55179.27</v>
      </c>
      <c r="O131" s="148">
        <f t="shared" si="16"/>
        <v>9932.27</v>
      </c>
    </row>
    <row r="132" spans="1:15" ht="47.25">
      <c r="A132" s="241">
        <f>+A131+1</f>
        <v>101</v>
      </c>
      <c r="B132" s="292">
        <v>21.13</v>
      </c>
      <c r="C132" s="204"/>
      <c r="D132" s="204"/>
      <c r="E132" s="237"/>
      <c r="F132" s="248">
        <v>0.18</v>
      </c>
      <c r="G132" s="238"/>
      <c r="H132" s="319" t="s">
        <v>504</v>
      </c>
      <c r="I132" s="293" t="s">
        <v>359</v>
      </c>
      <c r="J132" s="293">
        <v>18</v>
      </c>
      <c r="K132" s="290">
        <v>528.85</v>
      </c>
      <c r="L132" s="147">
        <v>0.18</v>
      </c>
      <c r="M132" s="147">
        <f t="shared" si="14"/>
        <v>448.18</v>
      </c>
      <c r="N132" s="147">
        <f t="shared" si="15"/>
        <v>8067.24</v>
      </c>
      <c r="O132" s="148">
        <f t="shared" si="16"/>
        <v>1452.1</v>
      </c>
    </row>
    <row r="133" spans="1:15">
      <c r="A133" s="241"/>
      <c r="B133" s="292"/>
      <c r="C133" s="204"/>
      <c r="D133" s="204"/>
      <c r="E133" s="237"/>
      <c r="F133" s="248"/>
      <c r="G133" s="238"/>
      <c r="H133" s="288" t="s">
        <v>505</v>
      </c>
      <c r="I133" s="293"/>
      <c r="J133" s="293"/>
      <c r="K133" s="290"/>
      <c r="L133" s="147"/>
      <c r="M133" s="147"/>
      <c r="N133" s="147"/>
      <c r="O133" s="148"/>
    </row>
    <row r="134" spans="1:15" ht="409.5">
      <c r="A134" s="241">
        <f>+A132+1</f>
        <v>102</v>
      </c>
      <c r="B134" s="292" t="s">
        <v>506</v>
      </c>
      <c r="C134" s="204"/>
      <c r="D134" s="204"/>
      <c r="E134" s="237"/>
      <c r="F134" s="248">
        <v>0.18</v>
      </c>
      <c r="G134" s="238"/>
      <c r="H134" s="319" t="s">
        <v>507</v>
      </c>
      <c r="I134" s="293" t="s">
        <v>306</v>
      </c>
      <c r="J134" s="293">
        <v>826</v>
      </c>
      <c r="K134" s="290">
        <v>1684.6</v>
      </c>
      <c r="L134" s="147">
        <v>0.18</v>
      </c>
      <c r="M134" s="147">
        <f t="shared" si="12"/>
        <v>1427.63</v>
      </c>
      <c r="N134" s="147">
        <f>ROUND(M134*J134,2)</f>
        <v>1179222.3799999999</v>
      </c>
      <c r="O134" s="148">
        <f t="shared" si="13"/>
        <v>212260.03</v>
      </c>
    </row>
    <row r="135" spans="1:15" ht="299.25" customHeight="1">
      <c r="A135" s="241">
        <f>+A134+1</f>
        <v>103</v>
      </c>
      <c r="B135" s="292" t="s">
        <v>508</v>
      </c>
      <c r="C135" s="204"/>
      <c r="D135" s="204"/>
      <c r="E135" s="237"/>
      <c r="F135" s="248">
        <v>0.18</v>
      </c>
      <c r="G135" s="238"/>
      <c r="H135" s="319" t="s">
        <v>509</v>
      </c>
      <c r="I135" s="293" t="s">
        <v>284</v>
      </c>
      <c r="J135" s="293">
        <v>31</v>
      </c>
      <c r="K135" s="290">
        <v>1111.3</v>
      </c>
      <c r="L135" s="147">
        <v>0.18</v>
      </c>
      <c r="M135" s="147">
        <f t="shared" si="12"/>
        <v>941.78</v>
      </c>
      <c r="N135" s="147">
        <f>ROUND(M135*J135,2)</f>
        <v>29195.18</v>
      </c>
      <c r="O135" s="148">
        <f t="shared" si="13"/>
        <v>5255.13</v>
      </c>
    </row>
    <row r="136" spans="1:15" ht="255">
      <c r="A136" s="241">
        <f>+A135+1</f>
        <v>104</v>
      </c>
      <c r="B136" s="292" t="s">
        <v>510</v>
      </c>
      <c r="C136" s="204"/>
      <c r="D136" s="204"/>
      <c r="E136" s="237"/>
      <c r="F136" s="248">
        <v>0.18</v>
      </c>
      <c r="G136" s="238"/>
      <c r="H136" s="289" t="s">
        <v>511</v>
      </c>
      <c r="I136" s="293" t="s">
        <v>306</v>
      </c>
      <c r="J136" s="293">
        <v>12</v>
      </c>
      <c r="K136" s="290">
        <v>4346.7</v>
      </c>
      <c r="L136" s="147">
        <v>0.18</v>
      </c>
      <c r="M136" s="147">
        <f>ROUND(K136/(1+L136),2)</f>
        <v>3683.64</v>
      </c>
      <c r="N136" s="147">
        <f>ROUND(M136*J136,2)</f>
        <v>44203.68</v>
      </c>
      <c r="O136" s="148">
        <f t="shared" si="13"/>
        <v>7956.66</v>
      </c>
    </row>
    <row r="137" spans="1:15" ht="36">
      <c r="A137" s="257"/>
      <c r="B137" s="258"/>
      <c r="C137" s="259"/>
      <c r="D137" s="260"/>
      <c r="E137" s="261"/>
      <c r="F137" s="262"/>
      <c r="G137" s="263"/>
      <c r="H137" s="264" t="s">
        <v>512</v>
      </c>
      <c r="I137" s="299"/>
      <c r="J137" s="265"/>
      <c r="K137" s="291"/>
      <c r="L137" s="267"/>
      <c r="M137" s="266"/>
      <c r="N137" s="268">
        <f>SUM(N13:N136)</f>
        <v>22060768.970000003</v>
      </c>
      <c r="O137" s="268">
        <f>SUM(O13:O136)</f>
        <v>3970938.4</v>
      </c>
    </row>
    <row r="138" spans="1:15" ht="36">
      <c r="A138" s="217"/>
      <c r="B138" s="211" t="s">
        <v>267</v>
      </c>
      <c r="C138" s="259"/>
      <c r="D138" s="260"/>
      <c r="E138" s="261"/>
      <c r="F138" s="262"/>
      <c r="G138" s="263"/>
      <c r="H138" s="242" t="s">
        <v>513</v>
      </c>
      <c r="I138" s="298"/>
      <c r="J138" s="218"/>
      <c r="K138" s="291"/>
      <c r="L138" s="220"/>
      <c r="M138" s="219"/>
      <c r="N138" s="219"/>
      <c r="O138" s="218"/>
    </row>
    <row r="139" spans="1:15" ht="18.75">
      <c r="A139" s="217"/>
      <c r="B139" s="211"/>
      <c r="C139" s="259"/>
      <c r="D139" s="260"/>
      <c r="E139" s="261"/>
      <c r="F139" s="262"/>
      <c r="G139" s="263"/>
      <c r="H139" s="288" t="s">
        <v>269</v>
      </c>
      <c r="I139" s="332"/>
      <c r="J139" s="333"/>
      <c r="K139" s="291"/>
      <c r="L139" s="220"/>
      <c r="M139" s="219"/>
      <c r="N139" s="219"/>
      <c r="O139" s="218"/>
    </row>
    <row r="140" spans="1:15" ht="60" customHeight="1">
      <c r="A140" s="241">
        <v>1</v>
      </c>
      <c r="B140" s="292" t="s">
        <v>270</v>
      </c>
      <c r="C140" s="204"/>
      <c r="D140" s="204"/>
      <c r="E140" s="237"/>
      <c r="F140" s="248">
        <v>0.18</v>
      </c>
      <c r="G140" s="238"/>
      <c r="H140" s="249" t="s">
        <v>271</v>
      </c>
      <c r="I140" s="293" t="s">
        <v>272</v>
      </c>
      <c r="J140" s="293">
        <v>13</v>
      </c>
      <c r="K140" s="290">
        <v>245.82</v>
      </c>
      <c r="L140" s="147">
        <v>0.18</v>
      </c>
      <c r="M140" s="147">
        <f>ROUND(K140/(1+L140),2)</f>
        <v>208.32</v>
      </c>
      <c r="N140" s="147">
        <f>ROUND(M140*J140,2)</f>
        <v>2708.16</v>
      </c>
      <c r="O140" s="148">
        <f>ROUND(N140*18%,2)</f>
        <v>487.47</v>
      </c>
    </row>
    <row r="141" spans="1:15" ht="45">
      <c r="A141" s="241">
        <f>A140+1</f>
        <v>2</v>
      </c>
      <c r="B141" s="292" t="s">
        <v>273</v>
      </c>
      <c r="C141" s="204"/>
      <c r="D141" s="204"/>
      <c r="E141" s="237"/>
      <c r="F141" s="248">
        <v>0.18</v>
      </c>
      <c r="G141" s="238"/>
      <c r="H141" s="249" t="s">
        <v>274</v>
      </c>
      <c r="I141" s="294" t="s">
        <v>272</v>
      </c>
      <c r="J141" s="294">
        <v>168</v>
      </c>
      <c r="K141" s="290">
        <v>393.32</v>
      </c>
      <c r="L141" s="147">
        <v>0.18</v>
      </c>
      <c r="M141" s="147">
        <f t="shared" ref="M141" si="17">ROUND(K141/(1+L141),2)</f>
        <v>333.32</v>
      </c>
      <c r="N141" s="147">
        <f t="shared" ref="N141" si="18">ROUND(M141*J141,2)</f>
        <v>55997.760000000002</v>
      </c>
      <c r="O141" s="148">
        <f t="shared" ref="O141" si="19">ROUND(N141*18%,2)</f>
        <v>10079.6</v>
      </c>
    </row>
    <row r="142" spans="1:15">
      <c r="A142" s="241"/>
      <c r="B142" s="292"/>
      <c r="C142" s="204"/>
      <c r="D142" s="204"/>
      <c r="E142" s="237"/>
      <c r="F142" s="248">
        <v>0.18</v>
      </c>
      <c r="G142" s="238"/>
      <c r="H142" s="288" t="s">
        <v>275</v>
      </c>
      <c r="I142" s="293"/>
      <c r="J142" s="293"/>
      <c r="K142" s="290"/>
      <c r="L142" s="146"/>
      <c r="M142" s="147"/>
      <c r="N142" s="147"/>
      <c r="O142" s="148"/>
    </row>
    <row r="143" spans="1:15" ht="90">
      <c r="A143" s="241">
        <f>+A141+1</f>
        <v>3</v>
      </c>
      <c r="B143" s="292" t="s">
        <v>276</v>
      </c>
      <c r="C143" s="204"/>
      <c r="D143" s="204"/>
      <c r="E143" s="237"/>
      <c r="F143" s="248">
        <v>0.18</v>
      </c>
      <c r="G143" s="238"/>
      <c r="H143" s="249" t="s">
        <v>277</v>
      </c>
      <c r="I143" s="293" t="s">
        <v>272</v>
      </c>
      <c r="J143" s="293">
        <v>36</v>
      </c>
      <c r="K143" s="290">
        <v>260.3</v>
      </c>
      <c r="L143" s="147">
        <v>0.18</v>
      </c>
      <c r="M143" s="147">
        <f t="shared" ref="M143:M144" si="20">ROUND(K143/(1+L143),2)</f>
        <v>220.59</v>
      </c>
      <c r="N143" s="147">
        <f t="shared" ref="N143:N144" si="21">ROUND(M143*J143,2)</f>
        <v>7941.24</v>
      </c>
      <c r="O143" s="148">
        <f t="shared" ref="O143:O144" si="22">ROUND(N143*18%,2)</f>
        <v>1429.42</v>
      </c>
    </row>
    <row r="144" spans="1:15" ht="105">
      <c r="A144" s="241">
        <f>+A143+1</f>
        <v>4</v>
      </c>
      <c r="B144" s="292" t="s">
        <v>278</v>
      </c>
      <c r="C144" s="204"/>
      <c r="D144" s="204"/>
      <c r="E144" s="237"/>
      <c r="F144" s="248">
        <v>0.18</v>
      </c>
      <c r="G144" s="238"/>
      <c r="H144" s="249" t="s">
        <v>279</v>
      </c>
      <c r="I144" s="293" t="s">
        <v>272</v>
      </c>
      <c r="J144" s="293">
        <v>79</v>
      </c>
      <c r="K144" s="290">
        <v>632.95000000000005</v>
      </c>
      <c r="L144" s="147">
        <v>0.18</v>
      </c>
      <c r="M144" s="147">
        <f t="shared" si="20"/>
        <v>536.4</v>
      </c>
      <c r="N144" s="147">
        <f t="shared" si="21"/>
        <v>42375.6</v>
      </c>
      <c r="O144" s="148">
        <f t="shared" si="22"/>
        <v>7627.61</v>
      </c>
    </row>
    <row r="145" spans="1:15" ht="110.25">
      <c r="A145" s="241">
        <f>+A144+1</f>
        <v>5</v>
      </c>
      <c r="B145" s="334" t="s">
        <v>280</v>
      </c>
      <c r="C145" s="204"/>
      <c r="D145" s="204"/>
      <c r="E145" s="237"/>
      <c r="F145" s="248">
        <v>0.18</v>
      </c>
      <c r="G145" s="238"/>
      <c r="H145" s="319" t="s">
        <v>281</v>
      </c>
      <c r="I145" s="293" t="s">
        <v>272</v>
      </c>
      <c r="J145" s="293">
        <v>89</v>
      </c>
      <c r="K145" s="290">
        <v>1049.8</v>
      </c>
      <c r="L145" s="147">
        <v>0.18</v>
      </c>
      <c r="M145" s="147">
        <f t="shared" ref="M145:M201" si="23">ROUND(K145/(1+L145),2)</f>
        <v>889.66</v>
      </c>
      <c r="N145" s="147">
        <f t="shared" ref="N145:N201" si="24">ROUND(M145*J145,2)</f>
        <v>79179.740000000005</v>
      </c>
      <c r="O145" s="148">
        <f t="shared" ref="O145:O201" si="25">ROUND(N145*18%,2)</f>
        <v>14252.35</v>
      </c>
    </row>
    <row r="146" spans="1:15" ht="110.25">
      <c r="A146" s="241">
        <f t="shared" ref="A146:A174" si="26">+A145+1</f>
        <v>6</v>
      </c>
      <c r="B146" s="334" t="s">
        <v>282</v>
      </c>
      <c r="C146" s="204"/>
      <c r="D146" s="204"/>
      <c r="E146" s="237"/>
      <c r="F146" s="248">
        <v>0.18</v>
      </c>
      <c r="G146" s="238"/>
      <c r="H146" s="319" t="s">
        <v>283</v>
      </c>
      <c r="I146" s="293" t="s">
        <v>272</v>
      </c>
      <c r="J146" s="293">
        <v>2</v>
      </c>
      <c r="K146" s="290">
        <v>352.15</v>
      </c>
      <c r="L146" s="147">
        <v>0.18</v>
      </c>
      <c r="M146" s="147">
        <f t="shared" si="23"/>
        <v>298.43</v>
      </c>
      <c r="N146" s="147">
        <f t="shared" si="24"/>
        <v>596.86</v>
      </c>
      <c r="O146" s="148">
        <f t="shared" si="25"/>
        <v>107.43</v>
      </c>
    </row>
    <row r="147" spans="1:15" ht="126">
      <c r="A147" s="241">
        <f t="shared" si="26"/>
        <v>7</v>
      </c>
      <c r="B147" s="334" t="s">
        <v>285</v>
      </c>
      <c r="C147" s="204"/>
      <c r="D147" s="204"/>
      <c r="E147" s="237"/>
      <c r="F147" s="248">
        <v>0.18</v>
      </c>
      <c r="G147" s="238"/>
      <c r="H147" s="319" t="s">
        <v>286</v>
      </c>
      <c r="I147" s="293" t="s">
        <v>284</v>
      </c>
      <c r="J147" s="293">
        <v>3</v>
      </c>
      <c r="K147" s="290">
        <v>998.65</v>
      </c>
      <c r="L147" s="147">
        <v>0.18</v>
      </c>
      <c r="M147" s="147">
        <f t="shared" si="23"/>
        <v>846.31</v>
      </c>
      <c r="N147" s="147">
        <f t="shared" si="24"/>
        <v>2538.9299999999998</v>
      </c>
      <c r="O147" s="148">
        <f t="shared" si="25"/>
        <v>457.01</v>
      </c>
    </row>
    <row r="148" spans="1:15" ht="126">
      <c r="A148" s="241">
        <f t="shared" si="26"/>
        <v>8</v>
      </c>
      <c r="B148" s="334" t="s">
        <v>287</v>
      </c>
      <c r="C148" s="204"/>
      <c r="D148" s="204"/>
      <c r="E148" s="237"/>
      <c r="F148" s="248">
        <v>0.18</v>
      </c>
      <c r="G148" s="238"/>
      <c r="H148" s="319" t="s">
        <v>288</v>
      </c>
      <c r="I148" s="325" t="s">
        <v>284</v>
      </c>
      <c r="J148" s="293">
        <v>5</v>
      </c>
      <c r="K148" s="290">
        <v>1493.6</v>
      </c>
      <c r="L148" s="147">
        <v>0.18</v>
      </c>
      <c r="M148" s="147">
        <f t="shared" si="23"/>
        <v>1265.76</v>
      </c>
      <c r="N148" s="147">
        <f t="shared" si="24"/>
        <v>6328.8</v>
      </c>
      <c r="O148" s="148">
        <f t="shared" si="25"/>
        <v>1139.18</v>
      </c>
    </row>
    <row r="149" spans="1:15" ht="47.25">
      <c r="A149" s="241">
        <f t="shared" si="26"/>
        <v>9</v>
      </c>
      <c r="B149" s="334" t="s">
        <v>289</v>
      </c>
      <c r="C149" s="204"/>
      <c r="D149" s="204"/>
      <c r="E149" s="237"/>
      <c r="F149" s="248">
        <v>0.18</v>
      </c>
      <c r="G149" s="238"/>
      <c r="H149" s="319" t="s">
        <v>290</v>
      </c>
      <c r="I149" s="325" t="s">
        <v>272</v>
      </c>
      <c r="J149" s="293">
        <v>26</v>
      </c>
      <c r="K149" s="290">
        <v>196</v>
      </c>
      <c r="L149" s="147">
        <v>0.18</v>
      </c>
      <c r="M149" s="147">
        <f t="shared" si="23"/>
        <v>166.1</v>
      </c>
      <c r="N149" s="147">
        <f t="shared" si="24"/>
        <v>4318.6000000000004</v>
      </c>
      <c r="O149" s="148">
        <f t="shared" si="25"/>
        <v>777.35</v>
      </c>
    </row>
    <row r="150" spans="1:15" ht="63">
      <c r="A150" s="241">
        <f t="shared" si="26"/>
        <v>10</v>
      </c>
      <c r="B150" s="334" t="s">
        <v>291</v>
      </c>
      <c r="C150" s="204"/>
      <c r="D150" s="204"/>
      <c r="E150" s="237"/>
      <c r="F150" s="248">
        <v>0.18</v>
      </c>
      <c r="G150" s="238"/>
      <c r="H150" s="319" t="s">
        <v>292</v>
      </c>
      <c r="I150" s="325" t="s">
        <v>272</v>
      </c>
      <c r="J150" s="293">
        <v>128</v>
      </c>
      <c r="K150" s="290">
        <v>700.5</v>
      </c>
      <c r="L150" s="147">
        <v>0.18</v>
      </c>
      <c r="M150" s="147">
        <f t="shared" si="23"/>
        <v>593.64</v>
      </c>
      <c r="N150" s="147">
        <f t="shared" si="24"/>
        <v>75985.919999999998</v>
      </c>
      <c r="O150" s="148">
        <f t="shared" si="25"/>
        <v>13677.47</v>
      </c>
    </row>
    <row r="151" spans="1:15" ht="31.5">
      <c r="A151" s="241">
        <f t="shared" si="26"/>
        <v>11</v>
      </c>
      <c r="B151" s="334" t="s">
        <v>293</v>
      </c>
      <c r="C151" s="204"/>
      <c r="D151" s="204"/>
      <c r="E151" s="237"/>
      <c r="F151" s="248">
        <v>0.18</v>
      </c>
      <c r="G151" s="238"/>
      <c r="H151" s="319" t="s">
        <v>294</v>
      </c>
      <c r="I151" s="325" t="s">
        <v>295</v>
      </c>
      <c r="J151" s="293">
        <v>85</v>
      </c>
      <c r="K151" s="290">
        <v>234.75</v>
      </c>
      <c r="L151" s="147">
        <v>0.18</v>
      </c>
      <c r="M151" s="147">
        <f t="shared" si="23"/>
        <v>198.94</v>
      </c>
      <c r="N151" s="147">
        <f t="shared" si="24"/>
        <v>16909.900000000001</v>
      </c>
      <c r="O151" s="148">
        <f t="shared" si="25"/>
        <v>3043.78</v>
      </c>
    </row>
    <row r="152" spans="1:15">
      <c r="A152" s="241">
        <f t="shared" si="26"/>
        <v>12</v>
      </c>
      <c r="B152" s="292"/>
      <c r="C152" s="204"/>
      <c r="D152" s="204"/>
      <c r="E152" s="237"/>
      <c r="F152" s="248">
        <v>0.18</v>
      </c>
      <c r="G152" s="238"/>
      <c r="H152" s="288" t="s">
        <v>296</v>
      </c>
      <c r="I152" s="293"/>
      <c r="J152" s="293"/>
      <c r="K152" s="290"/>
      <c r="L152" s="147">
        <v>0.18</v>
      </c>
      <c r="M152" s="147">
        <f t="shared" si="23"/>
        <v>0</v>
      </c>
      <c r="N152" s="147">
        <f t="shared" si="24"/>
        <v>0</v>
      </c>
      <c r="O152" s="148">
        <f t="shared" si="25"/>
        <v>0</v>
      </c>
    </row>
    <row r="153" spans="1:15" ht="63">
      <c r="A153" s="241">
        <f t="shared" si="26"/>
        <v>13</v>
      </c>
      <c r="B153" s="334" t="s">
        <v>297</v>
      </c>
      <c r="C153" s="204"/>
      <c r="D153" s="204"/>
      <c r="E153" s="237"/>
      <c r="F153" s="248">
        <v>0.18</v>
      </c>
      <c r="G153" s="238"/>
      <c r="H153" s="319" t="s">
        <v>298</v>
      </c>
      <c r="I153" s="293" t="s">
        <v>272</v>
      </c>
      <c r="J153" s="293">
        <v>30</v>
      </c>
      <c r="K153" s="290">
        <v>6812</v>
      </c>
      <c r="L153" s="147">
        <v>0.18</v>
      </c>
      <c r="M153" s="147">
        <f t="shared" si="23"/>
        <v>5772.88</v>
      </c>
      <c r="N153" s="147">
        <f t="shared" si="24"/>
        <v>173186.4</v>
      </c>
      <c r="O153" s="148">
        <f t="shared" si="25"/>
        <v>31173.55</v>
      </c>
    </row>
    <row r="154" spans="1:15" ht="110.25">
      <c r="A154" s="241">
        <f t="shared" si="26"/>
        <v>14</v>
      </c>
      <c r="B154" s="334" t="s">
        <v>299</v>
      </c>
      <c r="C154" s="204"/>
      <c r="D154" s="204"/>
      <c r="E154" s="237"/>
      <c r="F154" s="248">
        <v>0.18</v>
      </c>
      <c r="G154" s="238"/>
      <c r="H154" s="318" t="s">
        <v>514</v>
      </c>
      <c r="I154" s="293" t="s">
        <v>272</v>
      </c>
      <c r="J154" s="293">
        <v>7</v>
      </c>
      <c r="K154" s="290">
        <v>9895.2000000000007</v>
      </c>
      <c r="L154" s="147">
        <v>0.18</v>
      </c>
      <c r="M154" s="147">
        <f t="shared" si="23"/>
        <v>8385.76</v>
      </c>
      <c r="N154" s="147">
        <f t="shared" si="24"/>
        <v>58700.32</v>
      </c>
      <c r="O154" s="148">
        <f t="shared" si="25"/>
        <v>10566.06</v>
      </c>
    </row>
    <row r="155" spans="1:15" ht="47.25">
      <c r="A155" s="241">
        <f t="shared" si="26"/>
        <v>15</v>
      </c>
      <c r="B155" s="334" t="s">
        <v>301</v>
      </c>
      <c r="C155" s="204"/>
      <c r="D155" s="204"/>
      <c r="E155" s="237"/>
      <c r="F155" s="248">
        <v>0.18</v>
      </c>
      <c r="G155" s="238"/>
      <c r="H155" s="318" t="s">
        <v>302</v>
      </c>
      <c r="I155" s="293" t="s">
        <v>303</v>
      </c>
      <c r="J155" s="293">
        <v>41</v>
      </c>
      <c r="K155" s="290">
        <v>392.15</v>
      </c>
      <c r="L155" s="147">
        <v>0.18</v>
      </c>
      <c r="M155" s="147">
        <f t="shared" si="23"/>
        <v>332.33</v>
      </c>
      <c r="N155" s="147">
        <f t="shared" si="24"/>
        <v>13625.53</v>
      </c>
      <c r="O155" s="148">
        <f t="shared" si="25"/>
        <v>2452.6</v>
      </c>
    </row>
    <row r="156" spans="1:15" ht="63">
      <c r="A156" s="241">
        <f t="shared" si="26"/>
        <v>16</v>
      </c>
      <c r="B156" s="334" t="s">
        <v>304</v>
      </c>
      <c r="C156" s="204"/>
      <c r="D156" s="204"/>
      <c r="E156" s="237"/>
      <c r="F156" s="248">
        <v>0.18</v>
      </c>
      <c r="G156" s="238"/>
      <c r="H156" s="319" t="s">
        <v>305</v>
      </c>
      <c r="I156" s="293" t="s">
        <v>306</v>
      </c>
      <c r="J156" s="293">
        <v>41</v>
      </c>
      <c r="K156" s="290">
        <v>146.15</v>
      </c>
      <c r="L156" s="147">
        <v>0.18</v>
      </c>
      <c r="M156" s="147">
        <f t="shared" si="23"/>
        <v>123.86</v>
      </c>
      <c r="N156" s="147">
        <f t="shared" si="24"/>
        <v>5078.26</v>
      </c>
      <c r="O156" s="148">
        <f t="shared" si="25"/>
        <v>914.09</v>
      </c>
    </row>
    <row r="157" spans="1:15" ht="31.5">
      <c r="A157" s="241">
        <f t="shared" si="26"/>
        <v>17</v>
      </c>
      <c r="B157" s="334" t="s">
        <v>307</v>
      </c>
      <c r="C157" s="204"/>
      <c r="D157" s="204"/>
      <c r="E157" s="237"/>
      <c r="F157" s="248">
        <v>0.18</v>
      </c>
      <c r="G157" s="238"/>
      <c r="H157" s="319" t="s">
        <v>308</v>
      </c>
      <c r="I157" s="335" t="s">
        <v>309</v>
      </c>
      <c r="J157" s="293">
        <v>43</v>
      </c>
      <c r="K157" s="290">
        <v>18.149999999999999</v>
      </c>
      <c r="L157" s="147">
        <v>0.18</v>
      </c>
      <c r="M157" s="147">
        <f t="shared" si="23"/>
        <v>15.38</v>
      </c>
      <c r="N157" s="147">
        <f t="shared" si="24"/>
        <v>661.34</v>
      </c>
      <c r="O157" s="148">
        <f t="shared" si="25"/>
        <v>119.04</v>
      </c>
    </row>
    <row r="158" spans="1:15" ht="94.5">
      <c r="A158" s="241">
        <f t="shared" si="26"/>
        <v>18</v>
      </c>
      <c r="B158" s="334" t="s">
        <v>310</v>
      </c>
      <c r="C158" s="204"/>
      <c r="D158" s="204"/>
      <c r="E158" s="237"/>
      <c r="F158" s="248">
        <v>0.18</v>
      </c>
      <c r="G158" s="238"/>
      <c r="H158" s="319" t="s">
        <v>311</v>
      </c>
      <c r="I158" s="325" t="s">
        <v>306</v>
      </c>
      <c r="J158" s="293">
        <v>53</v>
      </c>
      <c r="K158" s="290">
        <v>749.3</v>
      </c>
      <c r="L158" s="147">
        <v>0.18</v>
      </c>
      <c r="M158" s="147">
        <f t="shared" si="23"/>
        <v>635</v>
      </c>
      <c r="N158" s="147">
        <f t="shared" si="24"/>
        <v>33655</v>
      </c>
      <c r="O158" s="148">
        <f t="shared" si="25"/>
        <v>6057.9</v>
      </c>
    </row>
    <row r="159" spans="1:15">
      <c r="A159" s="241"/>
      <c r="B159" s="292"/>
      <c r="C159" s="204"/>
      <c r="D159" s="204"/>
      <c r="E159" s="237"/>
      <c r="F159" s="248">
        <v>0.18</v>
      </c>
      <c r="G159" s="238"/>
      <c r="H159" s="288" t="s">
        <v>515</v>
      </c>
      <c r="I159" s="293"/>
      <c r="J159" s="293"/>
      <c r="K159" s="290"/>
      <c r="L159" s="147">
        <v>0.18</v>
      </c>
      <c r="M159" s="147">
        <f t="shared" si="23"/>
        <v>0</v>
      </c>
      <c r="N159" s="147">
        <f t="shared" si="24"/>
        <v>0</v>
      </c>
      <c r="O159" s="148">
        <f t="shared" si="25"/>
        <v>0</v>
      </c>
    </row>
    <row r="160" spans="1:15" ht="267.75">
      <c r="A160" s="241">
        <f>+A158+1</f>
        <v>19</v>
      </c>
      <c r="B160" s="334" t="s">
        <v>338</v>
      </c>
      <c r="C160" s="204"/>
      <c r="D160" s="204"/>
      <c r="E160" s="237"/>
      <c r="F160" s="248">
        <v>0.18</v>
      </c>
      <c r="G160" s="238"/>
      <c r="H160" s="319" t="s">
        <v>516</v>
      </c>
      <c r="I160" s="293" t="s">
        <v>272</v>
      </c>
      <c r="J160" s="293">
        <v>50</v>
      </c>
      <c r="K160" s="290">
        <v>9504.75</v>
      </c>
      <c r="L160" s="147">
        <v>0.18</v>
      </c>
      <c r="M160" s="147">
        <f t="shared" si="23"/>
        <v>8054.87</v>
      </c>
      <c r="N160" s="147">
        <f t="shared" si="24"/>
        <v>402743.5</v>
      </c>
      <c r="O160" s="148">
        <f t="shared" si="25"/>
        <v>72493.83</v>
      </c>
    </row>
    <row r="161" spans="1:15" ht="267.75">
      <c r="A161" s="241">
        <f t="shared" si="26"/>
        <v>20</v>
      </c>
      <c r="B161" s="334" t="s">
        <v>340</v>
      </c>
      <c r="C161" s="204"/>
      <c r="D161" s="204"/>
      <c r="E161" s="237"/>
      <c r="F161" s="248">
        <v>0.18</v>
      </c>
      <c r="G161" s="238"/>
      <c r="H161" s="319" t="s">
        <v>517</v>
      </c>
      <c r="I161" s="293" t="s">
        <v>272</v>
      </c>
      <c r="J161" s="293">
        <v>146</v>
      </c>
      <c r="K161" s="290">
        <v>9860.4</v>
      </c>
      <c r="L161" s="147">
        <v>0.18</v>
      </c>
      <c r="M161" s="147">
        <f t="shared" si="23"/>
        <v>8356.27</v>
      </c>
      <c r="N161" s="147">
        <f t="shared" si="24"/>
        <v>1220015.42</v>
      </c>
      <c r="O161" s="148">
        <f t="shared" si="25"/>
        <v>219602.78</v>
      </c>
    </row>
    <row r="162" spans="1:15" ht="31.5">
      <c r="A162" s="241">
        <f t="shared" si="26"/>
        <v>21</v>
      </c>
      <c r="B162" s="334" t="s">
        <v>342</v>
      </c>
      <c r="C162" s="204"/>
      <c r="D162" s="204"/>
      <c r="E162" s="237"/>
      <c r="F162" s="248">
        <v>0.18</v>
      </c>
      <c r="G162" s="238"/>
      <c r="H162" s="319" t="s">
        <v>343</v>
      </c>
      <c r="I162" s="293" t="s">
        <v>344</v>
      </c>
      <c r="J162" s="293">
        <v>138</v>
      </c>
      <c r="K162" s="290">
        <v>733.5</v>
      </c>
      <c r="L162" s="147">
        <v>0.18</v>
      </c>
      <c r="M162" s="147">
        <f t="shared" si="23"/>
        <v>621.61</v>
      </c>
      <c r="N162" s="147">
        <f t="shared" si="24"/>
        <v>85782.18</v>
      </c>
      <c r="O162" s="148">
        <f t="shared" si="25"/>
        <v>15440.79</v>
      </c>
    </row>
    <row r="163" spans="1:15" ht="31.5">
      <c r="A163" s="241">
        <f t="shared" si="26"/>
        <v>22</v>
      </c>
      <c r="B163" s="334" t="s">
        <v>313</v>
      </c>
      <c r="C163" s="204"/>
      <c r="D163" s="204"/>
      <c r="E163" s="237"/>
      <c r="F163" s="248">
        <v>0.18</v>
      </c>
      <c r="G163" s="238"/>
      <c r="H163" s="319" t="s">
        <v>314</v>
      </c>
      <c r="I163" s="293"/>
      <c r="J163" s="293"/>
      <c r="K163" s="290"/>
      <c r="L163" s="147">
        <v>0.18</v>
      </c>
      <c r="M163" s="147">
        <f t="shared" si="23"/>
        <v>0</v>
      </c>
      <c r="N163" s="147">
        <f t="shared" si="24"/>
        <v>0</v>
      </c>
      <c r="O163" s="148">
        <f t="shared" si="25"/>
        <v>0</v>
      </c>
    </row>
    <row r="164" spans="1:15">
      <c r="A164" s="241">
        <f t="shared" si="26"/>
        <v>23</v>
      </c>
      <c r="B164" s="334" t="s">
        <v>315</v>
      </c>
      <c r="C164" s="204"/>
      <c r="D164" s="204"/>
      <c r="E164" s="237"/>
      <c r="F164" s="248">
        <v>0.18</v>
      </c>
      <c r="G164" s="238"/>
      <c r="H164" s="319" t="s">
        <v>316</v>
      </c>
      <c r="I164" s="293" t="s">
        <v>306</v>
      </c>
      <c r="J164" s="293">
        <v>169</v>
      </c>
      <c r="K164" s="290">
        <v>392.15</v>
      </c>
      <c r="L164" s="147">
        <v>0.18</v>
      </c>
      <c r="M164" s="147">
        <f t="shared" si="23"/>
        <v>332.33</v>
      </c>
      <c r="N164" s="147">
        <f t="shared" si="24"/>
        <v>56163.77</v>
      </c>
      <c r="O164" s="148">
        <f t="shared" si="25"/>
        <v>10109.48</v>
      </c>
    </row>
    <row r="165" spans="1:15" ht="31.5">
      <c r="A165" s="241">
        <f t="shared" si="26"/>
        <v>24</v>
      </c>
      <c r="B165" s="336" t="s">
        <v>317</v>
      </c>
      <c r="C165" s="204"/>
      <c r="D165" s="204"/>
      <c r="E165" s="237"/>
      <c r="F165" s="248">
        <v>0.18</v>
      </c>
      <c r="G165" s="238"/>
      <c r="H165" s="319" t="s">
        <v>318</v>
      </c>
      <c r="I165" s="293" t="s">
        <v>306</v>
      </c>
      <c r="J165" s="293">
        <v>10</v>
      </c>
      <c r="K165" s="290">
        <v>842.5</v>
      </c>
      <c r="L165" s="147">
        <v>0.18</v>
      </c>
      <c r="M165" s="147">
        <f t="shared" si="23"/>
        <v>713.98</v>
      </c>
      <c r="N165" s="147">
        <f t="shared" si="24"/>
        <v>7139.8</v>
      </c>
      <c r="O165" s="148">
        <f t="shared" si="25"/>
        <v>1285.1600000000001</v>
      </c>
    </row>
    <row r="166" spans="1:15">
      <c r="A166" s="241">
        <f t="shared" si="26"/>
        <v>25</v>
      </c>
      <c r="B166" s="336" t="s">
        <v>319</v>
      </c>
      <c r="C166" s="204"/>
      <c r="D166" s="204"/>
      <c r="E166" s="237"/>
      <c r="F166" s="248">
        <v>0.18</v>
      </c>
      <c r="G166" s="238"/>
      <c r="H166" s="319" t="s">
        <v>320</v>
      </c>
      <c r="I166" s="293" t="s">
        <v>306</v>
      </c>
      <c r="J166" s="293">
        <v>472</v>
      </c>
      <c r="K166" s="290">
        <v>927.25</v>
      </c>
      <c r="L166" s="147">
        <v>0.18</v>
      </c>
      <c r="M166" s="147">
        <f t="shared" si="23"/>
        <v>785.81</v>
      </c>
      <c r="N166" s="147">
        <f t="shared" si="24"/>
        <v>370902.32</v>
      </c>
      <c r="O166" s="148">
        <f t="shared" si="25"/>
        <v>66762.42</v>
      </c>
    </row>
    <row r="167" spans="1:15">
      <c r="A167" s="241">
        <f t="shared" si="26"/>
        <v>26</v>
      </c>
      <c r="B167" s="336" t="s">
        <v>321</v>
      </c>
      <c r="C167" s="204"/>
      <c r="D167" s="204"/>
      <c r="E167" s="237"/>
      <c r="F167" s="248">
        <v>0.18</v>
      </c>
      <c r="G167" s="238"/>
      <c r="H167" s="319" t="s">
        <v>322</v>
      </c>
      <c r="I167" s="293" t="s">
        <v>306</v>
      </c>
      <c r="J167" s="293">
        <v>658</v>
      </c>
      <c r="K167" s="290">
        <v>736.4</v>
      </c>
      <c r="L167" s="147">
        <v>0.18</v>
      </c>
      <c r="M167" s="147">
        <f t="shared" si="23"/>
        <v>624.07000000000005</v>
      </c>
      <c r="N167" s="147">
        <f t="shared" si="24"/>
        <v>410638.06</v>
      </c>
      <c r="O167" s="148">
        <f t="shared" si="25"/>
        <v>73914.850000000006</v>
      </c>
    </row>
    <row r="168" spans="1:15">
      <c r="A168" s="241">
        <f t="shared" si="26"/>
        <v>27</v>
      </c>
      <c r="B168" s="336" t="s">
        <v>323</v>
      </c>
      <c r="C168" s="204"/>
      <c r="D168" s="204"/>
      <c r="E168" s="237"/>
      <c r="F168" s="248">
        <v>0.18</v>
      </c>
      <c r="G168" s="238"/>
      <c r="H168" s="319" t="s">
        <v>324</v>
      </c>
      <c r="I168" s="293" t="s">
        <v>306</v>
      </c>
      <c r="J168" s="293">
        <v>336</v>
      </c>
      <c r="K168" s="290">
        <v>961.3</v>
      </c>
      <c r="L168" s="147">
        <v>0.18</v>
      </c>
      <c r="M168" s="147">
        <f t="shared" si="23"/>
        <v>814.66</v>
      </c>
      <c r="N168" s="147">
        <f t="shared" si="24"/>
        <v>273725.76</v>
      </c>
      <c r="O168" s="148">
        <f t="shared" si="25"/>
        <v>49270.64</v>
      </c>
    </row>
    <row r="169" spans="1:15">
      <c r="A169" s="241">
        <f t="shared" si="26"/>
        <v>28</v>
      </c>
      <c r="B169" s="336" t="s">
        <v>325</v>
      </c>
      <c r="C169" s="204"/>
      <c r="D169" s="204"/>
      <c r="E169" s="237"/>
      <c r="F169" s="248">
        <v>0.18</v>
      </c>
      <c r="G169" s="238"/>
      <c r="H169" s="319" t="s">
        <v>326</v>
      </c>
      <c r="I169" s="293" t="s">
        <v>306</v>
      </c>
      <c r="J169" s="293">
        <v>26</v>
      </c>
      <c r="K169" s="290">
        <v>764.95</v>
      </c>
      <c r="L169" s="147">
        <v>0.18</v>
      </c>
      <c r="M169" s="147">
        <f t="shared" si="23"/>
        <v>648.26</v>
      </c>
      <c r="N169" s="147">
        <f t="shared" si="24"/>
        <v>16854.759999999998</v>
      </c>
      <c r="O169" s="148">
        <f t="shared" si="25"/>
        <v>3033.86</v>
      </c>
    </row>
    <row r="170" spans="1:15">
      <c r="A170" s="241">
        <f t="shared" si="26"/>
        <v>29</v>
      </c>
      <c r="B170" s="336" t="s">
        <v>327</v>
      </c>
      <c r="C170" s="204"/>
      <c r="D170" s="204"/>
      <c r="E170" s="237"/>
      <c r="F170" s="248">
        <v>0.18</v>
      </c>
      <c r="G170" s="238"/>
      <c r="H170" s="319" t="s">
        <v>328</v>
      </c>
      <c r="I170" s="293" t="s">
        <v>306</v>
      </c>
      <c r="J170" s="293">
        <v>14</v>
      </c>
      <c r="K170" s="290">
        <v>951.1</v>
      </c>
      <c r="L170" s="147">
        <v>0.18</v>
      </c>
      <c r="M170" s="147">
        <f t="shared" si="23"/>
        <v>806.02</v>
      </c>
      <c r="N170" s="147">
        <f t="shared" si="24"/>
        <v>11284.28</v>
      </c>
      <c r="O170" s="148">
        <f t="shared" si="25"/>
        <v>2031.17</v>
      </c>
    </row>
    <row r="171" spans="1:15" ht="110.25">
      <c r="A171" s="241">
        <f t="shared" si="26"/>
        <v>30</v>
      </c>
      <c r="B171" s="336" t="s">
        <v>329</v>
      </c>
      <c r="C171" s="204"/>
      <c r="D171" s="204"/>
      <c r="E171" s="237"/>
      <c r="F171" s="248">
        <v>0.18</v>
      </c>
      <c r="G171" s="238"/>
      <c r="H171" s="319" t="s">
        <v>330</v>
      </c>
      <c r="I171" s="293" t="s">
        <v>272</v>
      </c>
      <c r="J171" s="293">
        <v>1</v>
      </c>
      <c r="K171" s="290">
        <v>20355.8</v>
      </c>
      <c r="L171" s="147">
        <v>0.18</v>
      </c>
      <c r="M171" s="147">
        <f t="shared" si="23"/>
        <v>17250.68</v>
      </c>
      <c r="N171" s="147">
        <f t="shared" si="24"/>
        <v>17250.68</v>
      </c>
      <c r="O171" s="148">
        <f t="shared" si="25"/>
        <v>3105.12</v>
      </c>
    </row>
    <row r="172" spans="1:15" ht="47.25">
      <c r="A172" s="241">
        <f t="shared" si="26"/>
        <v>31</v>
      </c>
      <c r="B172" s="336" t="s">
        <v>331</v>
      </c>
      <c r="C172" s="204"/>
      <c r="D172" s="204"/>
      <c r="E172" s="237"/>
      <c r="F172" s="248">
        <v>0.18</v>
      </c>
      <c r="G172" s="238"/>
      <c r="H172" s="319" t="s">
        <v>332</v>
      </c>
      <c r="I172" s="293" t="s">
        <v>333</v>
      </c>
      <c r="J172" s="293">
        <v>6448</v>
      </c>
      <c r="K172" s="290">
        <v>107.85</v>
      </c>
      <c r="L172" s="147">
        <v>0.18</v>
      </c>
      <c r="M172" s="147">
        <f t="shared" si="23"/>
        <v>91.4</v>
      </c>
      <c r="N172" s="147">
        <f t="shared" si="24"/>
        <v>589347.19999999995</v>
      </c>
      <c r="O172" s="148">
        <f t="shared" si="25"/>
        <v>106082.5</v>
      </c>
    </row>
    <row r="173" spans="1:15" ht="47.25">
      <c r="A173" s="241">
        <f t="shared" si="26"/>
        <v>32</v>
      </c>
      <c r="B173" s="336" t="s">
        <v>334</v>
      </c>
      <c r="C173" s="204"/>
      <c r="D173" s="204"/>
      <c r="E173" s="237"/>
      <c r="F173" s="248">
        <v>0.18</v>
      </c>
      <c r="G173" s="238"/>
      <c r="H173" s="319" t="s">
        <v>335</v>
      </c>
      <c r="I173" s="293" t="s">
        <v>333</v>
      </c>
      <c r="J173" s="293">
        <v>18980</v>
      </c>
      <c r="K173" s="290">
        <v>107.85</v>
      </c>
      <c r="L173" s="147">
        <v>0.18</v>
      </c>
      <c r="M173" s="147">
        <f t="shared" si="23"/>
        <v>91.4</v>
      </c>
      <c r="N173" s="147">
        <f t="shared" si="24"/>
        <v>1734772</v>
      </c>
      <c r="O173" s="148">
        <f t="shared" si="25"/>
        <v>312258.96000000002</v>
      </c>
    </row>
    <row r="174" spans="1:15" ht="31.5">
      <c r="A174" s="241">
        <f t="shared" si="26"/>
        <v>33</v>
      </c>
      <c r="B174" s="336" t="s">
        <v>336</v>
      </c>
      <c r="C174" s="204"/>
      <c r="D174" s="204"/>
      <c r="E174" s="237"/>
      <c r="F174" s="248"/>
      <c r="G174" s="238"/>
      <c r="H174" s="319" t="s">
        <v>337</v>
      </c>
      <c r="I174" s="293" t="s">
        <v>284</v>
      </c>
      <c r="J174" s="293">
        <v>28</v>
      </c>
      <c r="K174" s="290">
        <v>78.400000000000006</v>
      </c>
      <c r="L174" s="147">
        <v>0.18</v>
      </c>
      <c r="M174" s="147">
        <f t="shared" si="23"/>
        <v>66.44</v>
      </c>
      <c r="N174" s="147">
        <f t="shared" si="24"/>
        <v>1860.32</v>
      </c>
      <c r="O174" s="148">
        <f t="shared" si="25"/>
        <v>334.86</v>
      </c>
    </row>
    <row r="175" spans="1:15">
      <c r="A175" s="241"/>
      <c r="B175" s="292"/>
      <c r="C175" s="204"/>
      <c r="D175" s="204"/>
      <c r="E175" s="237"/>
      <c r="F175" s="248">
        <v>0.18</v>
      </c>
      <c r="G175" s="238"/>
      <c r="H175" s="288" t="s">
        <v>345</v>
      </c>
      <c r="I175" s="293"/>
      <c r="J175" s="293"/>
      <c r="K175" s="290"/>
      <c r="L175" s="147">
        <v>0.18</v>
      </c>
      <c r="M175" s="147">
        <f t="shared" si="23"/>
        <v>0</v>
      </c>
      <c r="N175" s="147">
        <f t="shared" si="24"/>
        <v>0</v>
      </c>
      <c r="O175" s="148">
        <f t="shared" si="25"/>
        <v>0</v>
      </c>
    </row>
    <row r="176" spans="1:15" ht="31.5">
      <c r="A176" s="241">
        <f>+A174+1</f>
        <v>34</v>
      </c>
      <c r="B176" s="336" t="s">
        <v>346</v>
      </c>
      <c r="C176" s="204"/>
      <c r="D176" s="204"/>
      <c r="E176" s="237"/>
      <c r="F176" s="248">
        <v>0.18</v>
      </c>
      <c r="G176" s="238"/>
      <c r="H176" s="319" t="s">
        <v>347</v>
      </c>
      <c r="I176" s="293" t="s">
        <v>306</v>
      </c>
      <c r="J176" s="293">
        <v>214</v>
      </c>
      <c r="K176" s="290">
        <v>104.8</v>
      </c>
      <c r="L176" s="147">
        <v>0.18</v>
      </c>
      <c r="M176" s="147">
        <f t="shared" si="23"/>
        <v>88.81</v>
      </c>
      <c r="N176" s="147">
        <f t="shared" si="24"/>
        <v>19005.34</v>
      </c>
      <c r="O176" s="148">
        <f t="shared" si="25"/>
        <v>3420.96</v>
      </c>
    </row>
    <row r="177" spans="1:15">
      <c r="A177" s="241"/>
      <c r="B177" s="292"/>
      <c r="C177" s="204"/>
      <c r="D177" s="204"/>
      <c r="E177" s="237"/>
      <c r="F177" s="248">
        <v>0.18</v>
      </c>
      <c r="G177" s="238"/>
      <c r="H177" s="288" t="s">
        <v>518</v>
      </c>
      <c r="I177" s="293"/>
      <c r="J177" s="293"/>
      <c r="K177" s="290"/>
      <c r="L177" s="147">
        <v>0.18</v>
      </c>
      <c r="M177" s="147">
        <f t="shared" si="23"/>
        <v>0</v>
      </c>
      <c r="N177" s="147">
        <f t="shared" si="24"/>
        <v>0</v>
      </c>
      <c r="O177" s="148">
        <f t="shared" si="25"/>
        <v>0</v>
      </c>
    </row>
    <row r="178" spans="1:15" ht="141.75">
      <c r="A178" s="241">
        <f>+A176+1</f>
        <v>35</v>
      </c>
      <c r="B178" s="336" t="s">
        <v>349</v>
      </c>
      <c r="C178" s="204"/>
      <c r="D178" s="204"/>
      <c r="E178" s="237"/>
      <c r="F178" s="248">
        <v>0.18</v>
      </c>
      <c r="G178" s="238"/>
      <c r="H178" s="319" t="s">
        <v>350</v>
      </c>
      <c r="I178" s="293" t="s">
        <v>306</v>
      </c>
      <c r="J178" s="293">
        <v>11</v>
      </c>
      <c r="K178" s="290">
        <v>5413.5</v>
      </c>
      <c r="L178" s="147">
        <v>0.18</v>
      </c>
      <c r="M178" s="147">
        <f t="shared" si="23"/>
        <v>4587.71</v>
      </c>
      <c r="N178" s="147">
        <f t="shared" si="24"/>
        <v>50464.81</v>
      </c>
      <c r="O178" s="148">
        <f t="shared" si="25"/>
        <v>9083.67</v>
      </c>
    </row>
    <row r="179" spans="1:15" ht="126">
      <c r="A179" s="241">
        <f>+A178+1</f>
        <v>36</v>
      </c>
      <c r="B179" s="336" t="s">
        <v>351</v>
      </c>
      <c r="C179" s="204"/>
      <c r="D179" s="204"/>
      <c r="E179" s="237"/>
      <c r="F179" s="248">
        <v>0.18</v>
      </c>
      <c r="G179" s="238"/>
      <c r="H179" s="319" t="s">
        <v>352</v>
      </c>
      <c r="I179" s="293" t="s">
        <v>306</v>
      </c>
      <c r="J179" s="293">
        <v>25</v>
      </c>
      <c r="K179" s="290">
        <v>5136.3</v>
      </c>
      <c r="L179" s="147">
        <v>0.18</v>
      </c>
      <c r="M179" s="147">
        <f t="shared" si="23"/>
        <v>4352.8</v>
      </c>
      <c r="N179" s="147">
        <f t="shared" si="24"/>
        <v>108820</v>
      </c>
      <c r="O179" s="148">
        <f t="shared" si="25"/>
        <v>19587.599999999999</v>
      </c>
    </row>
    <row r="180" spans="1:15" ht="47.25">
      <c r="A180" s="241">
        <f>+A179+1</f>
        <v>37</v>
      </c>
      <c r="B180" s="336" t="s">
        <v>353</v>
      </c>
      <c r="C180" s="204"/>
      <c r="D180" s="204"/>
      <c r="E180" s="237"/>
      <c r="F180" s="248">
        <v>0.18</v>
      </c>
      <c r="G180" s="238"/>
      <c r="H180" s="319" t="s">
        <v>354</v>
      </c>
      <c r="I180" s="293" t="s">
        <v>284</v>
      </c>
      <c r="J180" s="293">
        <v>98</v>
      </c>
      <c r="K180" s="290">
        <v>510.95</v>
      </c>
      <c r="L180" s="147">
        <v>0.18</v>
      </c>
      <c r="M180" s="147">
        <f t="shared" si="23"/>
        <v>433.01</v>
      </c>
      <c r="N180" s="147">
        <f t="shared" si="24"/>
        <v>42434.98</v>
      </c>
      <c r="O180" s="148">
        <f t="shared" si="25"/>
        <v>7638.3</v>
      </c>
    </row>
    <row r="181" spans="1:15" ht="47.25">
      <c r="A181" s="241">
        <f t="shared" ref="A181" si="27">+A180+1</f>
        <v>38</v>
      </c>
      <c r="B181" s="336" t="s">
        <v>355</v>
      </c>
      <c r="C181" s="204"/>
      <c r="D181" s="204"/>
      <c r="E181" s="237"/>
      <c r="F181" s="248">
        <v>0.18</v>
      </c>
      <c r="G181" s="238"/>
      <c r="H181" s="319" t="s">
        <v>356</v>
      </c>
      <c r="I181" s="325" t="s">
        <v>284</v>
      </c>
      <c r="J181" s="293">
        <v>18</v>
      </c>
      <c r="K181" s="290">
        <v>568.54999999999995</v>
      </c>
      <c r="L181" s="147">
        <v>0.18</v>
      </c>
      <c r="M181" s="147">
        <f t="shared" si="23"/>
        <v>481.82</v>
      </c>
      <c r="N181" s="147">
        <f t="shared" si="24"/>
        <v>8672.76</v>
      </c>
      <c r="O181" s="148">
        <f t="shared" si="25"/>
        <v>1561.1</v>
      </c>
    </row>
    <row r="182" spans="1:15" ht="63">
      <c r="A182" s="241">
        <f>+A181+1</f>
        <v>39</v>
      </c>
      <c r="B182" s="336" t="s">
        <v>357</v>
      </c>
      <c r="C182" s="204"/>
      <c r="D182" s="204"/>
      <c r="E182" s="237"/>
      <c r="F182" s="248">
        <v>0.18</v>
      </c>
      <c r="G182" s="238"/>
      <c r="H182" s="319" t="s">
        <v>358</v>
      </c>
      <c r="I182" s="325" t="s">
        <v>359</v>
      </c>
      <c r="J182" s="293">
        <v>9</v>
      </c>
      <c r="K182" s="290">
        <v>978.7</v>
      </c>
      <c r="L182" s="147">
        <v>0.18</v>
      </c>
      <c r="M182" s="147">
        <f t="shared" si="23"/>
        <v>829.41</v>
      </c>
      <c r="N182" s="147">
        <f t="shared" si="24"/>
        <v>7464.69</v>
      </c>
      <c r="O182" s="148">
        <f t="shared" si="25"/>
        <v>1343.64</v>
      </c>
    </row>
    <row r="183" spans="1:15">
      <c r="A183" s="241"/>
      <c r="B183" s="292"/>
      <c r="C183" s="204"/>
      <c r="D183" s="204"/>
      <c r="E183" s="237"/>
      <c r="F183" s="248">
        <v>0.18</v>
      </c>
      <c r="G183" s="238"/>
      <c r="H183" s="288" t="s">
        <v>519</v>
      </c>
      <c r="I183" s="293"/>
      <c r="J183" s="293"/>
      <c r="K183" s="290"/>
      <c r="L183" s="147">
        <v>0.18</v>
      </c>
      <c r="M183" s="147">
        <f t="shared" si="23"/>
        <v>0</v>
      </c>
      <c r="N183" s="147">
        <f t="shared" si="24"/>
        <v>0</v>
      </c>
      <c r="O183" s="148">
        <f t="shared" si="25"/>
        <v>0</v>
      </c>
    </row>
    <row r="184" spans="1:15" ht="63">
      <c r="A184" s="241">
        <f>+A182+1</f>
        <v>40</v>
      </c>
      <c r="B184" s="336" t="s">
        <v>520</v>
      </c>
      <c r="C184" s="204"/>
      <c r="D184" s="204"/>
      <c r="E184" s="237"/>
      <c r="F184" s="248">
        <v>0.18</v>
      </c>
      <c r="G184" s="238"/>
      <c r="H184" s="319" t="s">
        <v>521</v>
      </c>
      <c r="I184" s="321" t="s">
        <v>272</v>
      </c>
      <c r="J184" s="293">
        <v>0.7</v>
      </c>
      <c r="K184" s="290">
        <v>142949.70000000001</v>
      </c>
      <c r="L184" s="147">
        <v>0.18</v>
      </c>
      <c r="M184" s="147">
        <f t="shared" si="23"/>
        <v>121143.81</v>
      </c>
      <c r="N184" s="147">
        <f t="shared" si="24"/>
        <v>84800.67</v>
      </c>
      <c r="O184" s="148">
        <f t="shared" si="25"/>
        <v>15264.12</v>
      </c>
    </row>
    <row r="185" spans="1:15" ht="94.5">
      <c r="A185" s="241">
        <f t="shared" ref="A185:A189" si="28">+A184+1</f>
        <v>41</v>
      </c>
      <c r="B185" s="336" t="s">
        <v>522</v>
      </c>
      <c r="C185" s="204"/>
      <c r="D185" s="204"/>
      <c r="E185" s="237"/>
      <c r="F185" s="248">
        <v>0.18</v>
      </c>
      <c r="G185" s="238"/>
      <c r="H185" s="318" t="s">
        <v>523</v>
      </c>
      <c r="I185" s="321" t="s">
        <v>306</v>
      </c>
      <c r="J185" s="293">
        <v>5</v>
      </c>
      <c r="K185" s="290">
        <v>2241.8000000000002</v>
      </c>
      <c r="L185" s="147">
        <v>0.18</v>
      </c>
      <c r="M185" s="147">
        <f t="shared" si="23"/>
        <v>1899.83</v>
      </c>
      <c r="N185" s="147">
        <f t="shared" si="24"/>
        <v>9499.15</v>
      </c>
      <c r="O185" s="148">
        <f t="shared" si="25"/>
        <v>1709.85</v>
      </c>
    </row>
    <row r="186" spans="1:15" ht="94.5">
      <c r="A186" s="241">
        <f>+A185+1</f>
        <v>42</v>
      </c>
      <c r="B186" s="336" t="s">
        <v>524</v>
      </c>
      <c r="C186" s="204"/>
      <c r="D186" s="204"/>
      <c r="E186" s="237"/>
      <c r="F186" s="248">
        <v>0.18</v>
      </c>
      <c r="G186" s="238"/>
      <c r="H186" s="318" t="s">
        <v>525</v>
      </c>
      <c r="I186" s="321" t="s">
        <v>306</v>
      </c>
      <c r="J186" s="293">
        <v>84</v>
      </c>
      <c r="K186" s="290">
        <v>2600.4499999999998</v>
      </c>
      <c r="L186" s="147">
        <v>0.18</v>
      </c>
      <c r="M186" s="147">
        <f t="shared" si="23"/>
        <v>2203.77</v>
      </c>
      <c r="N186" s="147">
        <f t="shared" si="24"/>
        <v>185116.68</v>
      </c>
      <c r="O186" s="148">
        <f t="shared" si="25"/>
        <v>33321</v>
      </c>
    </row>
    <row r="187" spans="1:15" ht="110.25">
      <c r="A187" s="241">
        <f t="shared" si="28"/>
        <v>43</v>
      </c>
      <c r="B187" s="336" t="s">
        <v>526</v>
      </c>
      <c r="C187" s="204"/>
      <c r="D187" s="204"/>
      <c r="E187" s="237"/>
      <c r="F187" s="248">
        <v>0.18</v>
      </c>
      <c r="G187" s="238"/>
      <c r="H187" s="318" t="s">
        <v>527</v>
      </c>
      <c r="I187" s="321" t="s">
        <v>306</v>
      </c>
      <c r="J187" s="293">
        <v>6</v>
      </c>
      <c r="K187" s="290">
        <v>1800.45</v>
      </c>
      <c r="L187" s="147">
        <v>0.18</v>
      </c>
      <c r="M187" s="147">
        <f t="shared" si="23"/>
        <v>1525.81</v>
      </c>
      <c r="N187" s="147">
        <f t="shared" si="24"/>
        <v>9154.86</v>
      </c>
      <c r="O187" s="148">
        <f t="shared" si="25"/>
        <v>1647.87</v>
      </c>
    </row>
    <row r="188" spans="1:15" ht="63">
      <c r="A188" s="241">
        <f>+A187+1</f>
        <v>44</v>
      </c>
      <c r="B188" s="336" t="s">
        <v>361</v>
      </c>
      <c r="C188" s="204"/>
      <c r="D188" s="204"/>
      <c r="E188" s="237"/>
      <c r="F188" s="248">
        <v>0.18</v>
      </c>
      <c r="G188" s="238"/>
      <c r="H188" s="318" t="s">
        <v>362</v>
      </c>
      <c r="I188" s="325" t="s">
        <v>306</v>
      </c>
      <c r="J188" s="293">
        <v>5</v>
      </c>
      <c r="K188" s="290">
        <v>176.4</v>
      </c>
      <c r="L188" s="147">
        <v>0.18</v>
      </c>
      <c r="M188" s="147">
        <f t="shared" si="23"/>
        <v>149.49</v>
      </c>
      <c r="N188" s="147">
        <f t="shared" si="24"/>
        <v>747.45</v>
      </c>
      <c r="O188" s="148">
        <f t="shared" si="25"/>
        <v>134.54</v>
      </c>
    </row>
    <row r="189" spans="1:15" ht="78.75">
      <c r="A189" s="241">
        <f t="shared" si="28"/>
        <v>45</v>
      </c>
      <c r="B189" s="336" t="s">
        <v>528</v>
      </c>
      <c r="C189" s="204"/>
      <c r="D189" s="204"/>
      <c r="E189" s="237"/>
      <c r="F189" s="248">
        <v>0.18</v>
      </c>
      <c r="G189" s="238"/>
      <c r="H189" s="318" t="s">
        <v>529</v>
      </c>
      <c r="I189" s="325" t="s">
        <v>306</v>
      </c>
      <c r="J189" s="293">
        <v>23</v>
      </c>
      <c r="K189" s="290">
        <v>3473.85</v>
      </c>
      <c r="L189" s="147">
        <v>0.18</v>
      </c>
      <c r="M189" s="147">
        <f t="shared" si="23"/>
        <v>2943.94</v>
      </c>
      <c r="N189" s="147">
        <f t="shared" si="24"/>
        <v>67710.62</v>
      </c>
      <c r="O189" s="148">
        <f t="shared" si="25"/>
        <v>12187.91</v>
      </c>
    </row>
    <row r="190" spans="1:15" ht="47.25">
      <c r="A190" s="241">
        <f>+A189+1</f>
        <v>46</v>
      </c>
      <c r="B190" s="336" t="s">
        <v>530</v>
      </c>
      <c r="C190" s="204"/>
      <c r="D190" s="204"/>
      <c r="E190" s="237"/>
      <c r="F190" s="248">
        <v>0.18</v>
      </c>
      <c r="G190" s="238"/>
      <c r="H190" s="318" t="s">
        <v>531</v>
      </c>
      <c r="I190" s="325" t="s">
        <v>306</v>
      </c>
      <c r="J190" s="293">
        <v>21</v>
      </c>
      <c r="K190" s="290">
        <v>462.35</v>
      </c>
      <c r="L190" s="147">
        <v>0.18</v>
      </c>
      <c r="M190" s="147">
        <f t="shared" si="23"/>
        <v>391.82</v>
      </c>
      <c r="N190" s="147">
        <f t="shared" si="24"/>
        <v>8228.2199999999993</v>
      </c>
      <c r="O190" s="148">
        <f t="shared" si="25"/>
        <v>1481.08</v>
      </c>
    </row>
    <row r="191" spans="1:15" ht="63">
      <c r="A191" s="241">
        <f t="shared" ref="A191:A194" si="29">+A190+1</f>
        <v>47</v>
      </c>
      <c r="B191" s="336" t="s">
        <v>363</v>
      </c>
      <c r="C191" s="204"/>
      <c r="D191" s="204"/>
      <c r="E191" s="237"/>
      <c r="F191" s="248">
        <v>0.18</v>
      </c>
      <c r="G191" s="238"/>
      <c r="H191" s="319" t="s">
        <v>364</v>
      </c>
      <c r="I191" s="325" t="s">
        <v>333</v>
      </c>
      <c r="J191" s="293">
        <v>367</v>
      </c>
      <c r="K191" s="290">
        <v>238.35</v>
      </c>
      <c r="L191" s="147">
        <v>0.18</v>
      </c>
      <c r="M191" s="147">
        <f t="shared" si="23"/>
        <v>201.99</v>
      </c>
      <c r="N191" s="147">
        <f t="shared" si="24"/>
        <v>74130.33</v>
      </c>
      <c r="O191" s="148">
        <f t="shared" si="25"/>
        <v>13343.46</v>
      </c>
    </row>
    <row r="192" spans="1:15" ht="47.25">
      <c r="A192" s="241">
        <f t="shared" si="29"/>
        <v>48</v>
      </c>
      <c r="B192" s="336" t="s">
        <v>532</v>
      </c>
      <c r="C192" s="204"/>
      <c r="D192" s="204"/>
      <c r="E192" s="237"/>
      <c r="F192" s="248">
        <v>0.18</v>
      </c>
      <c r="G192" s="238"/>
      <c r="H192" s="319" t="s">
        <v>533</v>
      </c>
      <c r="I192" s="321" t="s">
        <v>359</v>
      </c>
      <c r="J192" s="293">
        <v>24</v>
      </c>
      <c r="K192" s="290">
        <v>441.6</v>
      </c>
      <c r="L192" s="147">
        <v>0.18</v>
      </c>
      <c r="M192" s="147">
        <f t="shared" si="23"/>
        <v>374.24</v>
      </c>
      <c r="N192" s="147">
        <f t="shared" si="24"/>
        <v>8981.76</v>
      </c>
      <c r="O192" s="148">
        <f t="shared" si="25"/>
        <v>1616.72</v>
      </c>
    </row>
    <row r="193" spans="1:15" ht="47.25">
      <c r="A193" s="241">
        <f t="shared" si="29"/>
        <v>49</v>
      </c>
      <c r="B193" s="336" t="s">
        <v>534</v>
      </c>
      <c r="C193" s="204"/>
      <c r="D193" s="204"/>
      <c r="E193" s="237"/>
      <c r="F193" s="248">
        <v>0.18</v>
      </c>
      <c r="G193" s="238"/>
      <c r="H193" s="319" t="s">
        <v>535</v>
      </c>
      <c r="I193" s="321" t="s">
        <v>359</v>
      </c>
      <c r="J193" s="293">
        <v>16</v>
      </c>
      <c r="K193" s="290">
        <v>287.25</v>
      </c>
      <c r="L193" s="147">
        <v>0.18</v>
      </c>
      <c r="M193" s="147">
        <f t="shared" si="23"/>
        <v>243.43</v>
      </c>
      <c r="N193" s="147">
        <f t="shared" si="24"/>
        <v>3894.88</v>
      </c>
      <c r="O193" s="148">
        <f t="shared" si="25"/>
        <v>701.08</v>
      </c>
    </row>
    <row r="194" spans="1:15" ht="47.25">
      <c r="A194" s="241">
        <f t="shared" si="29"/>
        <v>50</v>
      </c>
      <c r="B194" s="336" t="s">
        <v>536</v>
      </c>
      <c r="C194" s="204"/>
      <c r="D194" s="204"/>
      <c r="E194" s="237"/>
      <c r="F194" s="248">
        <v>0.18</v>
      </c>
      <c r="G194" s="238"/>
      <c r="H194" s="319" t="s">
        <v>537</v>
      </c>
      <c r="I194" s="321" t="s">
        <v>359</v>
      </c>
      <c r="J194" s="293">
        <v>38</v>
      </c>
      <c r="K194" s="290">
        <v>308</v>
      </c>
      <c r="L194" s="147">
        <v>0.18</v>
      </c>
      <c r="M194" s="147">
        <f t="shared" si="23"/>
        <v>261.02</v>
      </c>
      <c r="N194" s="147">
        <f t="shared" si="24"/>
        <v>9918.76</v>
      </c>
      <c r="O194" s="148">
        <f t="shared" si="25"/>
        <v>1785.38</v>
      </c>
    </row>
    <row r="195" spans="1:15" ht="47.25">
      <c r="A195" s="241">
        <f>+A194+1</f>
        <v>51</v>
      </c>
      <c r="B195" s="336" t="s">
        <v>538</v>
      </c>
      <c r="C195" s="204"/>
      <c r="D195" s="204"/>
      <c r="E195" s="237"/>
      <c r="F195" s="248">
        <v>0.18</v>
      </c>
      <c r="G195" s="238"/>
      <c r="H195" s="319" t="s">
        <v>539</v>
      </c>
      <c r="I195" s="321" t="s">
        <v>359</v>
      </c>
      <c r="J195" s="293">
        <v>12</v>
      </c>
      <c r="K195" s="290">
        <v>854.65</v>
      </c>
      <c r="L195" s="147">
        <v>0.18</v>
      </c>
      <c r="M195" s="147">
        <f t="shared" si="23"/>
        <v>724.28</v>
      </c>
      <c r="N195" s="147">
        <f t="shared" si="24"/>
        <v>8691.36</v>
      </c>
      <c r="O195" s="148">
        <f t="shared" si="25"/>
        <v>1564.44</v>
      </c>
    </row>
    <row r="196" spans="1:15" ht="31.5">
      <c r="A196" s="241">
        <f t="shared" ref="A196" si="30">+A195+1</f>
        <v>52</v>
      </c>
      <c r="B196" s="336" t="s">
        <v>540</v>
      </c>
      <c r="C196" s="204"/>
      <c r="D196" s="204"/>
      <c r="E196" s="237"/>
      <c r="F196" s="248">
        <v>0.18</v>
      </c>
      <c r="G196" s="238"/>
      <c r="H196" s="319" t="s">
        <v>541</v>
      </c>
      <c r="I196" s="325" t="s">
        <v>359</v>
      </c>
      <c r="J196" s="293">
        <v>38</v>
      </c>
      <c r="K196" s="290">
        <v>256.64999999999998</v>
      </c>
      <c r="L196" s="147">
        <v>0.18</v>
      </c>
      <c r="M196" s="147">
        <f t="shared" si="23"/>
        <v>217.5</v>
      </c>
      <c r="N196" s="147">
        <f t="shared" si="24"/>
        <v>8265</v>
      </c>
      <c r="O196" s="148">
        <f t="shared" si="25"/>
        <v>1487.7</v>
      </c>
    </row>
    <row r="197" spans="1:15" ht="31.5">
      <c r="A197" s="241">
        <f>+A196+1</f>
        <v>53</v>
      </c>
      <c r="B197" s="336" t="s">
        <v>542</v>
      </c>
      <c r="C197" s="204"/>
      <c r="D197" s="204"/>
      <c r="E197" s="237"/>
      <c r="F197" s="248">
        <v>0.18</v>
      </c>
      <c r="G197" s="238"/>
      <c r="H197" s="319" t="s">
        <v>543</v>
      </c>
      <c r="I197" s="325" t="s">
        <v>359</v>
      </c>
      <c r="J197" s="293">
        <v>12</v>
      </c>
      <c r="K197" s="290">
        <v>121.65</v>
      </c>
      <c r="L197" s="147">
        <v>0.18</v>
      </c>
      <c r="M197" s="147">
        <f t="shared" si="23"/>
        <v>103.09</v>
      </c>
      <c r="N197" s="147">
        <f t="shared" si="24"/>
        <v>1237.08</v>
      </c>
      <c r="O197" s="148">
        <f t="shared" si="25"/>
        <v>222.67</v>
      </c>
    </row>
    <row r="198" spans="1:15" ht="78.75">
      <c r="A198" s="241">
        <f t="shared" ref="A198" si="31">+A197+1</f>
        <v>54</v>
      </c>
      <c r="B198" s="336" t="s">
        <v>544</v>
      </c>
      <c r="C198" s="204"/>
      <c r="D198" s="204"/>
      <c r="E198" s="237"/>
      <c r="F198" s="248">
        <v>0.18</v>
      </c>
      <c r="G198" s="238"/>
      <c r="H198" s="319" t="s">
        <v>545</v>
      </c>
      <c r="I198" s="325" t="s">
        <v>359</v>
      </c>
      <c r="J198" s="293">
        <v>1</v>
      </c>
      <c r="K198" s="290">
        <v>983.15</v>
      </c>
      <c r="L198" s="147">
        <v>0.18</v>
      </c>
      <c r="M198" s="147">
        <f t="shared" si="23"/>
        <v>833.18</v>
      </c>
      <c r="N198" s="147">
        <f t="shared" si="24"/>
        <v>833.18</v>
      </c>
      <c r="O198" s="148">
        <f t="shared" si="25"/>
        <v>149.97</v>
      </c>
    </row>
    <row r="199" spans="1:15" ht="47.25">
      <c r="A199" s="241">
        <f>+A198+1</f>
        <v>55</v>
      </c>
      <c r="B199" s="336" t="s">
        <v>546</v>
      </c>
      <c r="C199" s="204"/>
      <c r="D199" s="204"/>
      <c r="E199" s="237"/>
      <c r="F199" s="248">
        <v>0.18</v>
      </c>
      <c r="G199" s="238"/>
      <c r="H199" s="319" t="s">
        <v>547</v>
      </c>
      <c r="I199" s="325" t="s">
        <v>359</v>
      </c>
      <c r="J199" s="293">
        <v>32</v>
      </c>
      <c r="K199" s="290">
        <v>39.700000000000003</v>
      </c>
      <c r="L199" s="147">
        <v>0.18</v>
      </c>
      <c r="M199" s="147">
        <f t="shared" si="23"/>
        <v>33.64</v>
      </c>
      <c r="N199" s="147">
        <f t="shared" si="24"/>
        <v>1076.48</v>
      </c>
      <c r="O199" s="148">
        <f t="shared" si="25"/>
        <v>193.77</v>
      </c>
    </row>
    <row r="200" spans="1:15" ht="110.25">
      <c r="A200" s="241">
        <f t="shared" ref="A200" si="32">+A199+1</f>
        <v>56</v>
      </c>
      <c r="B200" s="336" t="s">
        <v>548</v>
      </c>
      <c r="C200" s="204"/>
      <c r="D200" s="204"/>
      <c r="E200" s="237"/>
      <c r="F200" s="248">
        <v>0.18</v>
      </c>
      <c r="G200" s="238"/>
      <c r="H200" s="319" t="s">
        <v>549</v>
      </c>
      <c r="I200" s="325" t="s">
        <v>306</v>
      </c>
      <c r="J200" s="293">
        <v>14</v>
      </c>
      <c r="K200" s="290">
        <v>2307.35</v>
      </c>
      <c r="L200" s="147">
        <v>0.18</v>
      </c>
      <c r="M200" s="147">
        <f t="shared" si="23"/>
        <v>1955.38</v>
      </c>
      <c r="N200" s="147">
        <f t="shared" si="24"/>
        <v>27375.32</v>
      </c>
      <c r="O200" s="148">
        <f t="shared" si="25"/>
        <v>4927.5600000000004</v>
      </c>
    </row>
    <row r="201" spans="1:15" ht="409.5">
      <c r="A201" s="241">
        <f>+A200+1</f>
        <v>57</v>
      </c>
      <c r="B201" s="336" t="s">
        <v>550</v>
      </c>
      <c r="C201" s="204"/>
      <c r="D201" s="204"/>
      <c r="E201" s="237"/>
      <c r="F201" s="248">
        <v>0.18</v>
      </c>
      <c r="G201" s="238"/>
      <c r="H201" s="319" t="s">
        <v>551</v>
      </c>
      <c r="I201" s="321" t="s">
        <v>306</v>
      </c>
      <c r="J201" s="293">
        <v>3</v>
      </c>
      <c r="K201" s="290">
        <v>10874.2</v>
      </c>
      <c r="L201" s="147">
        <v>0.18</v>
      </c>
      <c r="M201" s="147">
        <f t="shared" si="23"/>
        <v>9215.42</v>
      </c>
      <c r="N201" s="147">
        <f t="shared" si="24"/>
        <v>27646.26</v>
      </c>
      <c r="O201" s="148">
        <f t="shared" si="25"/>
        <v>4976.33</v>
      </c>
    </row>
    <row r="202" spans="1:15" ht="409.5">
      <c r="A202" s="241">
        <f>+A201+1</f>
        <v>58</v>
      </c>
      <c r="B202" s="336" t="s">
        <v>552</v>
      </c>
      <c r="C202" s="204"/>
      <c r="D202" s="204"/>
      <c r="E202" s="237"/>
      <c r="F202" s="248">
        <v>0.18</v>
      </c>
      <c r="G202" s="238"/>
      <c r="H202" s="319" t="s">
        <v>553</v>
      </c>
      <c r="I202" s="321" t="s">
        <v>306</v>
      </c>
      <c r="J202" s="293">
        <v>12</v>
      </c>
      <c r="K202" s="290">
        <v>12372.25</v>
      </c>
      <c r="L202" s="147">
        <v>0.18</v>
      </c>
      <c r="M202" s="147">
        <f t="shared" ref="M202:M244" si="33">ROUND(K202/(1+L202),2)</f>
        <v>10484.959999999999</v>
      </c>
      <c r="N202" s="147">
        <f t="shared" ref="N202:N244" si="34">ROUND(M202*J202,2)</f>
        <v>125819.52</v>
      </c>
      <c r="O202" s="148">
        <f t="shared" ref="O202:O244" si="35">ROUND(N202*18%,2)</f>
        <v>22647.51</v>
      </c>
    </row>
    <row r="203" spans="1:15" ht="409.5">
      <c r="A203" s="241">
        <f t="shared" ref="A203" si="36">+A202+1</f>
        <v>59</v>
      </c>
      <c r="B203" s="336" t="s">
        <v>554</v>
      </c>
      <c r="C203" s="204"/>
      <c r="D203" s="204"/>
      <c r="E203" s="237"/>
      <c r="F203" s="248">
        <v>0.18</v>
      </c>
      <c r="G203" s="238"/>
      <c r="H203" s="319" t="s">
        <v>555</v>
      </c>
      <c r="I203" s="321" t="s">
        <v>306</v>
      </c>
      <c r="J203" s="293">
        <v>31</v>
      </c>
      <c r="K203" s="290">
        <v>9894.7999999999993</v>
      </c>
      <c r="L203" s="147">
        <v>0.18</v>
      </c>
      <c r="M203" s="147">
        <f t="shared" si="33"/>
        <v>8385.42</v>
      </c>
      <c r="N203" s="147">
        <f t="shared" si="34"/>
        <v>259948.02</v>
      </c>
      <c r="O203" s="148">
        <f t="shared" si="35"/>
        <v>46790.64</v>
      </c>
    </row>
    <row r="204" spans="1:15" ht="409.5">
      <c r="A204" s="241">
        <f>+A203+1</f>
        <v>60</v>
      </c>
      <c r="B204" s="336" t="s">
        <v>556</v>
      </c>
      <c r="C204" s="204"/>
      <c r="D204" s="204"/>
      <c r="E204" s="237"/>
      <c r="F204" s="248">
        <v>0.18</v>
      </c>
      <c r="G204" s="238"/>
      <c r="H204" s="319" t="s">
        <v>557</v>
      </c>
      <c r="I204" s="321" t="s">
        <v>306</v>
      </c>
      <c r="J204" s="293">
        <v>5</v>
      </c>
      <c r="K204" s="290">
        <v>7827.75</v>
      </c>
      <c r="L204" s="147">
        <v>0.18</v>
      </c>
      <c r="M204" s="147">
        <f t="shared" si="33"/>
        <v>6633.69</v>
      </c>
      <c r="N204" s="147">
        <f t="shared" si="34"/>
        <v>33168.449999999997</v>
      </c>
      <c r="O204" s="148">
        <f t="shared" si="35"/>
        <v>5970.32</v>
      </c>
    </row>
    <row r="205" spans="1:15" ht="409.5">
      <c r="A205" s="241">
        <f t="shared" ref="A205:A206" si="37">+A204+1</f>
        <v>61</v>
      </c>
      <c r="B205" s="336" t="s">
        <v>558</v>
      </c>
      <c r="C205" s="204"/>
      <c r="D205" s="204"/>
      <c r="E205" s="237"/>
      <c r="F205" s="248">
        <v>0.18</v>
      </c>
      <c r="G205" s="238"/>
      <c r="H205" s="319" t="s">
        <v>559</v>
      </c>
      <c r="I205" s="321" t="s">
        <v>306</v>
      </c>
      <c r="J205" s="293">
        <v>21</v>
      </c>
      <c r="K205" s="290">
        <v>6528.8</v>
      </c>
      <c r="L205" s="147">
        <v>0.18</v>
      </c>
      <c r="M205" s="147">
        <f t="shared" si="33"/>
        <v>5532.88</v>
      </c>
      <c r="N205" s="147">
        <f t="shared" si="34"/>
        <v>116190.48</v>
      </c>
      <c r="O205" s="148">
        <f t="shared" si="35"/>
        <v>20914.29</v>
      </c>
    </row>
    <row r="206" spans="1:15" ht="47.25">
      <c r="A206" s="241">
        <f t="shared" si="37"/>
        <v>62</v>
      </c>
      <c r="B206" s="336" t="s">
        <v>560</v>
      </c>
      <c r="C206" s="204"/>
      <c r="D206" s="204"/>
      <c r="E206" s="237"/>
      <c r="F206" s="248">
        <v>0.18</v>
      </c>
      <c r="G206" s="238"/>
      <c r="H206" s="319" t="s">
        <v>561</v>
      </c>
      <c r="I206" s="321" t="s">
        <v>359</v>
      </c>
      <c r="J206" s="293">
        <v>32</v>
      </c>
      <c r="K206" s="290">
        <v>90.45</v>
      </c>
      <c r="L206" s="147">
        <v>0.18</v>
      </c>
      <c r="M206" s="147">
        <f t="shared" si="33"/>
        <v>76.650000000000006</v>
      </c>
      <c r="N206" s="147">
        <f t="shared" si="34"/>
        <v>2452.8000000000002</v>
      </c>
      <c r="O206" s="148">
        <f t="shared" si="35"/>
        <v>441.5</v>
      </c>
    </row>
    <row r="207" spans="1:15">
      <c r="A207" s="241"/>
      <c r="B207" s="292"/>
      <c r="C207" s="204"/>
      <c r="D207" s="204"/>
      <c r="E207" s="237"/>
      <c r="F207" s="248">
        <v>0.18</v>
      </c>
      <c r="G207" s="238"/>
      <c r="H207" s="288" t="s">
        <v>379</v>
      </c>
      <c r="I207" s="293"/>
      <c r="J207" s="293"/>
      <c r="K207" s="290"/>
      <c r="L207" s="146"/>
      <c r="M207" s="147">
        <f t="shared" si="33"/>
        <v>0</v>
      </c>
      <c r="N207" s="147">
        <f t="shared" si="34"/>
        <v>0</v>
      </c>
      <c r="O207" s="148">
        <f t="shared" si="35"/>
        <v>0</v>
      </c>
    </row>
    <row r="208" spans="1:15" ht="78.75">
      <c r="A208" s="241">
        <f>+A206+1</f>
        <v>63</v>
      </c>
      <c r="B208" s="336" t="s">
        <v>382</v>
      </c>
      <c r="C208" s="204"/>
      <c r="D208" s="204"/>
      <c r="E208" s="237"/>
      <c r="F208" s="248">
        <v>0.18</v>
      </c>
      <c r="G208" s="238"/>
      <c r="H208" s="319" t="s">
        <v>562</v>
      </c>
      <c r="I208" s="321" t="s">
        <v>333</v>
      </c>
      <c r="J208" s="293">
        <v>456</v>
      </c>
      <c r="K208" s="290">
        <v>172.6</v>
      </c>
      <c r="L208" s="147">
        <v>0.18</v>
      </c>
      <c r="M208" s="147">
        <f t="shared" si="33"/>
        <v>146.27000000000001</v>
      </c>
      <c r="N208" s="147">
        <f t="shared" si="34"/>
        <v>66699.12</v>
      </c>
      <c r="O208" s="148">
        <f t="shared" si="35"/>
        <v>12005.84</v>
      </c>
    </row>
    <row r="209" spans="1:15" ht="141.75">
      <c r="A209" s="241">
        <f>+A208+1</f>
        <v>64</v>
      </c>
      <c r="B209" s="336" t="s">
        <v>384</v>
      </c>
      <c r="C209" s="204"/>
      <c r="D209" s="204"/>
      <c r="E209" s="237"/>
      <c r="F209" s="248">
        <v>0.18</v>
      </c>
      <c r="G209" s="238"/>
      <c r="H209" s="319" t="s">
        <v>385</v>
      </c>
      <c r="I209" s="321" t="s">
        <v>333</v>
      </c>
      <c r="J209" s="293">
        <v>640</v>
      </c>
      <c r="K209" s="290">
        <v>772.4</v>
      </c>
      <c r="L209" s="147">
        <v>0.18</v>
      </c>
      <c r="M209" s="147">
        <f t="shared" si="33"/>
        <v>654.58000000000004</v>
      </c>
      <c r="N209" s="147">
        <f t="shared" si="34"/>
        <v>418931.20000000001</v>
      </c>
      <c r="O209" s="148">
        <f t="shared" si="35"/>
        <v>75407.62</v>
      </c>
    </row>
    <row r="210" spans="1:15">
      <c r="A210" s="241"/>
      <c r="B210" s="292"/>
      <c r="C210" s="204"/>
      <c r="D210" s="204"/>
      <c r="E210" s="237"/>
      <c r="F210" s="248">
        <v>0.18</v>
      </c>
      <c r="G210" s="238"/>
      <c r="H210" s="288" t="s">
        <v>563</v>
      </c>
      <c r="I210" s="293"/>
      <c r="J210" s="293"/>
      <c r="K210" s="290"/>
      <c r="L210" s="147">
        <v>0.18</v>
      </c>
      <c r="M210" s="147">
        <f t="shared" si="33"/>
        <v>0</v>
      </c>
      <c r="N210" s="147">
        <f t="shared" si="34"/>
        <v>0</v>
      </c>
      <c r="O210" s="148">
        <f t="shared" si="35"/>
        <v>0</v>
      </c>
    </row>
    <row r="211" spans="1:15" ht="63">
      <c r="A211" s="241">
        <f>+A209+1</f>
        <v>65</v>
      </c>
      <c r="B211" s="336" t="s">
        <v>564</v>
      </c>
      <c r="C211" s="204"/>
      <c r="D211" s="204"/>
      <c r="E211" s="237"/>
      <c r="F211" s="248">
        <v>0.18</v>
      </c>
      <c r="G211" s="238"/>
      <c r="H211" s="319" t="s">
        <v>565</v>
      </c>
      <c r="I211" s="325" t="s">
        <v>306</v>
      </c>
      <c r="J211" s="293">
        <v>80</v>
      </c>
      <c r="K211" s="290">
        <v>2428.6</v>
      </c>
      <c r="L211" s="147">
        <v>0.18</v>
      </c>
      <c r="M211" s="147">
        <f t="shared" si="33"/>
        <v>2058.14</v>
      </c>
      <c r="N211" s="147">
        <f t="shared" si="34"/>
        <v>164651.20000000001</v>
      </c>
      <c r="O211" s="148">
        <f t="shared" si="35"/>
        <v>29637.22</v>
      </c>
    </row>
    <row r="212" spans="1:15">
      <c r="A212" s="241">
        <f t="shared" ref="A212:A270" si="38">+A211+1</f>
        <v>66</v>
      </c>
      <c r="B212" s="336" t="s">
        <v>566</v>
      </c>
      <c r="C212" s="204"/>
      <c r="D212" s="204"/>
      <c r="E212" s="237"/>
      <c r="F212" s="248">
        <v>0.18</v>
      </c>
      <c r="G212" s="238"/>
      <c r="H212" s="319" t="s">
        <v>567</v>
      </c>
      <c r="I212" s="325" t="s">
        <v>284</v>
      </c>
      <c r="J212" s="293">
        <v>69</v>
      </c>
      <c r="K212" s="290">
        <v>719.9</v>
      </c>
      <c r="L212" s="147">
        <v>0.18</v>
      </c>
      <c r="M212" s="147">
        <f t="shared" si="33"/>
        <v>610.08000000000004</v>
      </c>
      <c r="N212" s="147">
        <f t="shared" si="34"/>
        <v>42095.519999999997</v>
      </c>
      <c r="O212" s="148">
        <f t="shared" si="35"/>
        <v>7577.19</v>
      </c>
    </row>
    <row r="213" spans="1:15" ht="31.5">
      <c r="A213" s="241">
        <f t="shared" si="38"/>
        <v>67</v>
      </c>
      <c r="B213" s="336" t="s">
        <v>568</v>
      </c>
      <c r="C213" s="204"/>
      <c r="D213" s="204"/>
      <c r="E213" s="237"/>
      <c r="F213" s="248">
        <v>0.18</v>
      </c>
      <c r="G213" s="238"/>
      <c r="H213" s="319" t="s">
        <v>569</v>
      </c>
      <c r="I213" s="325" t="s">
        <v>306</v>
      </c>
      <c r="J213" s="293">
        <v>33</v>
      </c>
      <c r="K213" s="290">
        <v>851.8</v>
      </c>
      <c r="L213" s="147">
        <v>0.18</v>
      </c>
      <c r="M213" s="147">
        <f t="shared" si="33"/>
        <v>721.86</v>
      </c>
      <c r="N213" s="147">
        <f t="shared" si="34"/>
        <v>23821.38</v>
      </c>
      <c r="O213" s="148">
        <f t="shared" si="35"/>
        <v>4287.8500000000004</v>
      </c>
    </row>
    <row r="214" spans="1:15" ht="94.5">
      <c r="A214" s="241">
        <f t="shared" si="38"/>
        <v>68</v>
      </c>
      <c r="B214" s="336" t="s">
        <v>389</v>
      </c>
      <c r="C214" s="204"/>
      <c r="D214" s="204"/>
      <c r="E214" s="237"/>
      <c r="F214" s="248">
        <v>0.18</v>
      </c>
      <c r="G214" s="238"/>
      <c r="H214" s="318" t="s">
        <v>390</v>
      </c>
      <c r="I214" s="325" t="s">
        <v>306</v>
      </c>
      <c r="J214" s="293">
        <v>22</v>
      </c>
      <c r="K214" s="290">
        <v>1096.55</v>
      </c>
      <c r="L214" s="147">
        <v>0.18</v>
      </c>
      <c r="M214" s="147">
        <f t="shared" si="33"/>
        <v>929.28</v>
      </c>
      <c r="N214" s="147">
        <f t="shared" si="34"/>
        <v>20444.16</v>
      </c>
      <c r="O214" s="148">
        <f t="shared" si="35"/>
        <v>3679.95</v>
      </c>
    </row>
    <row r="215" spans="1:15" ht="110.25">
      <c r="A215" s="241">
        <f t="shared" ref="A215" si="39">+A213+1</f>
        <v>68</v>
      </c>
      <c r="B215" s="336" t="s">
        <v>391</v>
      </c>
      <c r="C215" s="204"/>
      <c r="D215" s="204"/>
      <c r="E215" s="237"/>
      <c r="F215" s="248">
        <v>0.18</v>
      </c>
      <c r="G215" s="238"/>
      <c r="H215" s="318" t="s">
        <v>392</v>
      </c>
      <c r="I215" s="325" t="s">
        <v>306</v>
      </c>
      <c r="J215" s="293">
        <v>140</v>
      </c>
      <c r="K215" s="290">
        <v>1112.7</v>
      </c>
      <c r="L215" s="147">
        <v>0.18</v>
      </c>
      <c r="M215" s="147">
        <f t="shared" si="33"/>
        <v>942.97</v>
      </c>
      <c r="N215" s="147">
        <f t="shared" si="34"/>
        <v>132015.79999999999</v>
      </c>
      <c r="O215" s="148">
        <f t="shared" si="35"/>
        <v>23762.84</v>
      </c>
    </row>
    <row r="216" spans="1:15" ht="173.25">
      <c r="A216" s="241">
        <f t="shared" si="38"/>
        <v>69</v>
      </c>
      <c r="B216" s="336" t="s">
        <v>393</v>
      </c>
      <c r="C216" s="204"/>
      <c r="D216" s="204"/>
      <c r="E216" s="237"/>
      <c r="F216" s="248">
        <v>0.18</v>
      </c>
      <c r="G216" s="238"/>
      <c r="H216" s="319" t="s">
        <v>394</v>
      </c>
      <c r="I216" s="325" t="s">
        <v>306</v>
      </c>
      <c r="J216" s="293">
        <v>267</v>
      </c>
      <c r="K216" s="290">
        <v>1502.75</v>
      </c>
      <c r="L216" s="147">
        <v>0.18</v>
      </c>
      <c r="M216" s="147">
        <f t="shared" si="33"/>
        <v>1273.52</v>
      </c>
      <c r="N216" s="147">
        <f t="shared" si="34"/>
        <v>340029.84</v>
      </c>
      <c r="O216" s="148">
        <f t="shared" si="35"/>
        <v>61205.37</v>
      </c>
    </row>
    <row r="217" spans="1:15" ht="173.25">
      <c r="A217" s="241">
        <f t="shared" si="38"/>
        <v>70</v>
      </c>
      <c r="B217" s="336" t="s">
        <v>570</v>
      </c>
      <c r="C217" s="204"/>
      <c r="D217" s="204"/>
      <c r="E217" s="237"/>
      <c r="F217" s="248">
        <v>0.18</v>
      </c>
      <c r="G217" s="238"/>
      <c r="H217" s="319" t="s">
        <v>571</v>
      </c>
      <c r="I217" s="325" t="s">
        <v>306</v>
      </c>
      <c r="J217" s="321">
        <v>57</v>
      </c>
      <c r="K217" s="290">
        <v>1464.85</v>
      </c>
      <c r="L217" s="147">
        <v>0.18</v>
      </c>
      <c r="M217" s="147">
        <f t="shared" si="33"/>
        <v>1241.4000000000001</v>
      </c>
      <c r="N217" s="147">
        <f t="shared" si="34"/>
        <v>70759.8</v>
      </c>
      <c r="O217" s="148">
        <f t="shared" si="35"/>
        <v>12736.76</v>
      </c>
    </row>
    <row r="218" spans="1:15" ht="141.75">
      <c r="A218" s="241">
        <f t="shared" si="38"/>
        <v>71</v>
      </c>
      <c r="B218" s="336" t="s">
        <v>397</v>
      </c>
      <c r="C218" s="204"/>
      <c r="D218" s="204"/>
      <c r="E218" s="237"/>
      <c r="F218" s="248">
        <v>0.18</v>
      </c>
      <c r="G218" s="238"/>
      <c r="H218" s="319" t="s">
        <v>398</v>
      </c>
      <c r="I218" s="325" t="s">
        <v>306</v>
      </c>
      <c r="J218" s="321">
        <v>22</v>
      </c>
      <c r="K218" s="290">
        <v>3186.7</v>
      </c>
      <c r="L218" s="147">
        <v>0.18</v>
      </c>
      <c r="M218" s="147">
        <f t="shared" si="33"/>
        <v>2700.59</v>
      </c>
      <c r="N218" s="147">
        <f t="shared" si="34"/>
        <v>59412.98</v>
      </c>
      <c r="O218" s="148">
        <f t="shared" si="35"/>
        <v>10694.34</v>
      </c>
    </row>
    <row r="219" spans="1:15">
      <c r="A219" s="241"/>
      <c r="B219" s="292"/>
      <c r="C219" s="204"/>
      <c r="D219" s="204"/>
      <c r="E219" s="237"/>
      <c r="F219" s="248">
        <v>0.18</v>
      </c>
      <c r="G219" s="238"/>
      <c r="H219" s="288" t="s">
        <v>401</v>
      </c>
      <c r="I219" s="293"/>
      <c r="J219" s="293"/>
      <c r="K219" s="290"/>
      <c r="L219" s="147">
        <v>0.18</v>
      </c>
      <c r="M219" s="147">
        <f t="shared" si="33"/>
        <v>0</v>
      </c>
      <c r="N219" s="147">
        <f t="shared" si="34"/>
        <v>0</v>
      </c>
      <c r="O219" s="148">
        <f t="shared" si="35"/>
        <v>0</v>
      </c>
    </row>
    <row r="220" spans="1:15" ht="63">
      <c r="A220" s="241">
        <f>+A218+1</f>
        <v>72</v>
      </c>
      <c r="B220" s="323" t="s">
        <v>572</v>
      </c>
      <c r="C220" s="204"/>
      <c r="D220" s="204"/>
      <c r="E220" s="237"/>
      <c r="F220" s="248">
        <v>0.18</v>
      </c>
      <c r="G220" s="238"/>
      <c r="H220" s="319" t="s">
        <v>573</v>
      </c>
      <c r="I220" s="325" t="s">
        <v>284</v>
      </c>
      <c r="J220" s="321">
        <v>98</v>
      </c>
      <c r="K220" s="290">
        <v>305.14999999999998</v>
      </c>
      <c r="L220" s="147">
        <v>0.18</v>
      </c>
      <c r="M220" s="147">
        <f t="shared" si="33"/>
        <v>258.60000000000002</v>
      </c>
      <c r="N220" s="147">
        <f t="shared" si="34"/>
        <v>25342.799999999999</v>
      </c>
      <c r="O220" s="148">
        <f t="shared" si="35"/>
        <v>4561.7</v>
      </c>
    </row>
    <row r="221" spans="1:15" ht="78.75">
      <c r="A221" s="241">
        <f t="shared" si="38"/>
        <v>73</v>
      </c>
      <c r="B221" s="323" t="s">
        <v>574</v>
      </c>
      <c r="C221" s="204"/>
      <c r="D221" s="204"/>
      <c r="E221" s="237"/>
      <c r="F221" s="248">
        <v>0.18</v>
      </c>
      <c r="G221" s="238"/>
      <c r="H221" s="319" t="s">
        <v>575</v>
      </c>
      <c r="I221" s="325" t="s">
        <v>359</v>
      </c>
      <c r="J221" s="321">
        <v>7</v>
      </c>
      <c r="K221" s="290">
        <v>298.25</v>
      </c>
      <c r="L221" s="147">
        <v>0.18</v>
      </c>
      <c r="M221" s="147">
        <f t="shared" si="33"/>
        <v>252.75</v>
      </c>
      <c r="N221" s="147">
        <f t="shared" si="34"/>
        <v>1769.25</v>
      </c>
      <c r="O221" s="148">
        <f t="shared" si="35"/>
        <v>318.47000000000003</v>
      </c>
    </row>
    <row r="222" spans="1:15" ht="63">
      <c r="A222" s="241">
        <f t="shared" si="38"/>
        <v>74</v>
      </c>
      <c r="B222" s="323" t="s">
        <v>402</v>
      </c>
      <c r="C222" s="204"/>
      <c r="D222" s="204"/>
      <c r="E222" s="237"/>
      <c r="F222" s="248">
        <v>0.18</v>
      </c>
      <c r="G222" s="238"/>
      <c r="H222" s="319" t="s">
        <v>403</v>
      </c>
      <c r="I222" s="325" t="s">
        <v>284</v>
      </c>
      <c r="J222" s="321">
        <v>39</v>
      </c>
      <c r="K222" s="290">
        <v>377.4</v>
      </c>
      <c r="L222" s="147">
        <v>0.18</v>
      </c>
      <c r="M222" s="147">
        <f t="shared" si="33"/>
        <v>319.83</v>
      </c>
      <c r="N222" s="147">
        <f t="shared" si="34"/>
        <v>12473.37</v>
      </c>
      <c r="O222" s="148">
        <f t="shared" si="35"/>
        <v>2245.21</v>
      </c>
    </row>
    <row r="223" spans="1:15" ht="63">
      <c r="A223" s="241">
        <f t="shared" ref="A223" si="40">+A221+1</f>
        <v>74</v>
      </c>
      <c r="B223" s="336" t="s">
        <v>404</v>
      </c>
      <c r="C223" s="204"/>
      <c r="D223" s="204"/>
      <c r="E223" s="237"/>
      <c r="F223" s="248">
        <v>0.18</v>
      </c>
      <c r="G223" s="238"/>
      <c r="H223" s="319" t="s">
        <v>405</v>
      </c>
      <c r="I223" s="325"/>
      <c r="J223" s="321"/>
      <c r="K223" s="290"/>
      <c r="L223" s="147">
        <v>0.18</v>
      </c>
      <c r="M223" s="147">
        <f t="shared" si="33"/>
        <v>0</v>
      </c>
      <c r="N223" s="147">
        <f t="shared" si="34"/>
        <v>0</v>
      </c>
      <c r="O223" s="148">
        <f t="shared" si="35"/>
        <v>0</v>
      </c>
    </row>
    <row r="224" spans="1:15">
      <c r="A224" s="241">
        <f t="shared" si="38"/>
        <v>75</v>
      </c>
      <c r="B224" s="336" t="s">
        <v>406</v>
      </c>
      <c r="C224" s="204"/>
      <c r="D224" s="204"/>
      <c r="E224" s="237"/>
      <c r="F224" s="248">
        <v>0.18</v>
      </c>
      <c r="G224" s="238"/>
      <c r="H224" s="319" t="s">
        <v>407</v>
      </c>
      <c r="I224" s="325" t="s">
        <v>359</v>
      </c>
      <c r="J224" s="321">
        <v>14</v>
      </c>
      <c r="K224" s="290">
        <v>136.15</v>
      </c>
      <c r="L224" s="147">
        <v>0.18</v>
      </c>
      <c r="M224" s="147">
        <f t="shared" si="33"/>
        <v>115.38</v>
      </c>
      <c r="N224" s="147">
        <f t="shared" si="34"/>
        <v>1615.32</v>
      </c>
      <c r="O224" s="148">
        <f t="shared" si="35"/>
        <v>290.76</v>
      </c>
    </row>
    <row r="225" spans="1:15">
      <c r="A225" s="241">
        <f t="shared" si="38"/>
        <v>76</v>
      </c>
      <c r="B225" s="336" t="s">
        <v>408</v>
      </c>
      <c r="C225" s="204"/>
      <c r="D225" s="204"/>
      <c r="E225" s="237"/>
      <c r="F225" s="248">
        <v>0.18</v>
      </c>
      <c r="G225" s="238"/>
      <c r="H225" s="319" t="s">
        <v>409</v>
      </c>
      <c r="I225" s="325" t="s">
        <v>359</v>
      </c>
      <c r="J225" s="321">
        <v>5</v>
      </c>
      <c r="K225" s="290">
        <v>234.15</v>
      </c>
      <c r="L225" s="147">
        <v>0.18</v>
      </c>
      <c r="M225" s="147">
        <f t="shared" si="33"/>
        <v>198.43</v>
      </c>
      <c r="N225" s="147">
        <f t="shared" si="34"/>
        <v>992.15</v>
      </c>
      <c r="O225" s="148">
        <f t="shared" si="35"/>
        <v>178.59</v>
      </c>
    </row>
    <row r="226" spans="1:15">
      <c r="A226" s="241">
        <f t="shared" si="38"/>
        <v>77</v>
      </c>
      <c r="B226" s="336" t="s">
        <v>410</v>
      </c>
      <c r="C226" s="204"/>
      <c r="D226" s="204"/>
      <c r="E226" s="237"/>
      <c r="F226" s="248">
        <v>0.18</v>
      </c>
      <c r="G226" s="238"/>
      <c r="H226" s="319" t="s">
        <v>411</v>
      </c>
      <c r="I226" s="325" t="s">
        <v>359</v>
      </c>
      <c r="J226" s="321">
        <v>7</v>
      </c>
      <c r="K226" s="290">
        <v>150.35</v>
      </c>
      <c r="L226" s="147">
        <v>0.18</v>
      </c>
      <c r="M226" s="147">
        <f t="shared" si="33"/>
        <v>127.42</v>
      </c>
      <c r="N226" s="147">
        <f t="shared" si="34"/>
        <v>891.94</v>
      </c>
      <c r="O226" s="148">
        <f t="shared" si="35"/>
        <v>160.55000000000001</v>
      </c>
    </row>
    <row r="227" spans="1:15">
      <c r="A227" s="241">
        <f t="shared" ref="A227" si="41">+A225+1</f>
        <v>77</v>
      </c>
      <c r="B227" s="336" t="s">
        <v>412</v>
      </c>
      <c r="C227" s="204"/>
      <c r="D227" s="204"/>
      <c r="E227" s="237"/>
      <c r="F227" s="248">
        <v>0.18</v>
      </c>
      <c r="G227" s="238"/>
      <c r="H227" s="319" t="s">
        <v>413</v>
      </c>
      <c r="I227" s="325" t="s">
        <v>359</v>
      </c>
      <c r="J227" s="321">
        <v>7</v>
      </c>
      <c r="K227" s="290">
        <v>131.85</v>
      </c>
      <c r="L227" s="147">
        <v>0.18</v>
      </c>
      <c r="M227" s="147">
        <f t="shared" si="33"/>
        <v>111.74</v>
      </c>
      <c r="N227" s="147">
        <f t="shared" si="34"/>
        <v>782.18</v>
      </c>
      <c r="O227" s="148">
        <f t="shared" si="35"/>
        <v>140.79</v>
      </c>
    </row>
    <row r="228" spans="1:15" ht="78.75">
      <c r="A228" s="241">
        <f t="shared" si="38"/>
        <v>78</v>
      </c>
      <c r="B228" s="336" t="s">
        <v>414</v>
      </c>
      <c r="C228" s="204"/>
      <c r="D228" s="204"/>
      <c r="E228" s="237"/>
      <c r="F228" s="248">
        <v>0.18</v>
      </c>
      <c r="G228" s="238"/>
      <c r="H228" s="319" t="s">
        <v>415</v>
      </c>
      <c r="I228" s="325" t="s">
        <v>359</v>
      </c>
      <c r="J228" s="321">
        <v>30</v>
      </c>
      <c r="K228" s="290">
        <v>371.3</v>
      </c>
      <c r="L228" s="147">
        <v>0.18</v>
      </c>
      <c r="M228" s="147">
        <f t="shared" si="33"/>
        <v>314.66000000000003</v>
      </c>
      <c r="N228" s="147">
        <f t="shared" si="34"/>
        <v>9439.7999999999993</v>
      </c>
      <c r="O228" s="148">
        <f t="shared" si="35"/>
        <v>1699.16</v>
      </c>
    </row>
    <row r="229" spans="1:15" ht="409.5">
      <c r="A229" s="241">
        <f t="shared" si="38"/>
        <v>79</v>
      </c>
      <c r="B229" s="336" t="s">
        <v>416</v>
      </c>
      <c r="C229" s="204"/>
      <c r="D229" s="204"/>
      <c r="E229" s="237"/>
      <c r="F229" s="248">
        <v>0.18</v>
      </c>
      <c r="G229" s="238"/>
      <c r="H229" s="319" t="s">
        <v>417</v>
      </c>
      <c r="I229" s="325" t="s">
        <v>303</v>
      </c>
      <c r="J229" s="321">
        <v>299</v>
      </c>
      <c r="K229" s="290">
        <v>1529.1</v>
      </c>
      <c r="L229" s="147">
        <v>0.18</v>
      </c>
      <c r="M229" s="147">
        <f t="shared" si="33"/>
        <v>1295.8499999999999</v>
      </c>
      <c r="N229" s="147">
        <f t="shared" si="34"/>
        <v>387459.15</v>
      </c>
      <c r="O229" s="148">
        <f t="shared" si="35"/>
        <v>69742.649999999994</v>
      </c>
    </row>
    <row r="230" spans="1:15" ht="47.25">
      <c r="A230" s="241">
        <f t="shared" si="38"/>
        <v>80</v>
      </c>
      <c r="B230" s="336" t="s">
        <v>418</v>
      </c>
      <c r="C230" s="204"/>
      <c r="D230" s="204"/>
      <c r="E230" s="237"/>
      <c r="F230" s="248">
        <v>0.18</v>
      </c>
      <c r="G230" s="238"/>
      <c r="H230" s="319" t="s">
        <v>419</v>
      </c>
      <c r="I230" s="325" t="s">
        <v>359</v>
      </c>
      <c r="J230" s="321">
        <v>7</v>
      </c>
      <c r="K230" s="290">
        <v>84.55</v>
      </c>
      <c r="L230" s="147">
        <v>0.18</v>
      </c>
      <c r="M230" s="147">
        <f t="shared" si="33"/>
        <v>71.650000000000006</v>
      </c>
      <c r="N230" s="147">
        <f t="shared" si="34"/>
        <v>501.55</v>
      </c>
      <c r="O230" s="148">
        <f t="shared" si="35"/>
        <v>90.28</v>
      </c>
    </row>
    <row r="231" spans="1:15">
      <c r="A231" s="241"/>
      <c r="B231" s="292"/>
      <c r="C231" s="204"/>
      <c r="D231" s="204"/>
      <c r="E231" s="237"/>
      <c r="F231" s="248">
        <v>0.18</v>
      </c>
      <c r="G231" s="238"/>
      <c r="H231" s="288" t="s">
        <v>421</v>
      </c>
      <c r="I231" s="293"/>
      <c r="J231" s="293"/>
      <c r="K231" s="290"/>
      <c r="L231" s="147">
        <v>0.18</v>
      </c>
      <c r="M231" s="147">
        <f t="shared" si="33"/>
        <v>0</v>
      </c>
      <c r="N231" s="147">
        <f t="shared" si="34"/>
        <v>0</v>
      </c>
      <c r="O231" s="148">
        <f t="shared" si="35"/>
        <v>0</v>
      </c>
    </row>
    <row r="232" spans="1:15">
      <c r="A232" s="241">
        <f>+A230+1</f>
        <v>81</v>
      </c>
      <c r="B232" s="336" t="s">
        <v>422</v>
      </c>
      <c r="C232" s="204"/>
      <c r="D232" s="204"/>
      <c r="E232" s="237"/>
      <c r="F232" s="248">
        <v>0.18</v>
      </c>
      <c r="G232" s="238"/>
      <c r="H232" s="319" t="s">
        <v>423</v>
      </c>
      <c r="I232" s="325" t="s">
        <v>306</v>
      </c>
      <c r="J232" s="321">
        <v>1637</v>
      </c>
      <c r="K232" s="290">
        <v>343.65</v>
      </c>
      <c r="L232" s="147">
        <v>0.18</v>
      </c>
      <c r="M232" s="147">
        <f t="shared" si="33"/>
        <v>291.23</v>
      </c>
      <c r="N232" s="147">
        <f t="shared" si="34"/>
        <v>476743.51</v>
      </c>
      <c r="O232" s="148">
        <f t="shared" si="35"/>
        <v>85813.83</v>
      </c>
    </row>
    <row r="233" spans="1:15" ht="31.5">
      <c r="A233" s="241">
        <f t="shared" si="38"/>
        <v>82</v>
      </c>
      <c r="B233" s="336" t="s">
        <v>424</v>
      </c>
      <c r="C233" s="204"/>
      <c r="D233" s="204"/>
      <c r="E233" s="237"/>
      <c r="F233" s="248">
        <v>0.18</v>
      </c>
      <c r="G233" s="238"/>
      <c r="H233" s="319" t="s">
        <v>425</v>
      </c>
      <c r="I233" s="325" t="s">
        <v>306</v>
      </c>
      <c r="J233" s="321">
        <v>485</v>
      </c>
      <c r="K233" s="290">
        <v>395.35</v>
      </c>
      <c r="L233" s="147">
        <v>0.18</v>
      </c>
      <c r="M233" s="147">
        <f t="shared" si="33"/>
        <v>335.04</v>
      </c>
      <c r="N233" s="147">
        <f t="shared" si="34"/>
        <v>162494.39999999999</v>
      </c>
      <c r="O233" s="148">
        <f t="shared" si="35"/>
        <v>29248.99</v>
      </c>
    </row>
    <row r="234" spans="1:15" ht="31.5">
      <c r="A234" s="241">
        <f t="shared" si="38"/>
        <v>83</v>
      </c>
      <c r="B234" s="336" t="s">
        <v>426</v>
      </c>
      <c r="C234" s="204"/>
      <c r="D234" s="204"/>
      <c r="E234" s="237"/>
      <c r="F234" s="248">
        <v>0.18</v>
      </c>
      <c r="G234" s="238"/>
      <c r="H234" s="319" t="s">
        <v>427</v>
      </c>
      <c r="I234" s="325" t="s">
        <v>306</v>
      </c>
      <c r="J234" s="321">
        <v>49</v>
      </c>
      <c r="K234" s="290">
        <v>449.55</v>
      </c>
      <c r="L234" s="147">
        <v>0.18</v>
      </c>
      <c r="M234" s="147">
        <f t="shared" si="33"/>
        <v>380.97</v>
      </c>
      <c r="N234" s="147">
        <f t="shared" si="34"/>
        <v>18667.53</v>
      </c>
      <c r="O234" s="148">
        <f t="shared" si="35"/>
        <v>3360.16</v>
      </c>
    </row>
    <row r="235" spans="1:15" ht="47.25">
      <c r="A235" s="241">
        <f t="shared" ref="A235" si="42">+A233+1</f>
        <v>83</v>
      </c>
      <c r="B235" s="336" t="s">
        <v>428</v>
      </c>
      <c r="C235" s="204"/>
      <c r="D235" s="204"/>
      <c r="E235" s="237"/>
      <c r="F235" s="248">
        <v>0.18</v>
      </c>
      <c r="G235" s="238"/>
      <c r="H235" s="319" t="s">
        <v>429</v>
      </c>
      <c r="I235" s="325" t="s">
        <v>306</v>
      </c>
      <c r="J235" s="321">
        <v>716</v>
      </c>
      <c r="K235" s="290">
        <v>518.54999999999995</v>
      </c>
      <c r="L235" s="147">
        <v>0.18</v>
      </c>
      <c r="M235" s="147">
        <f t="shared" si="33"/>
        <v>439.45</v>
      </c>
      <c r="N235" s="147">
        <f t="shared" si="34"/>
        <v>314646.2</v>
      </c>
      <c r="O235" s="148">
        <f t="shared" si="35"/>
        <v>56636.32</v>
      </c>
    </row>
    <row r="236" spans="1:15" ht="31.5">
      <c r="A236" s="241">
        <f t="shared" si="38"/>
        <v>84</v>
      </c>
      <c r="B236" s="336" t="s">
        <v>430</v>
      </c>
      <c r="C236" s="204"/>
      <c r="D236" s="204"/>
      <c r="E236" s="237"/>
      <c r="F236" s="248">
        <v>0.18</v>
      </c>
      <c r="G236" s="238"/>
      <c r="H236" s="319" t="s">
        <v>576</v>
      </c>
      <c r="I236" s="325" t="s">
        <v>306</v>
      </c>
      <c r="J236" s="321">
        <v>548</v>
      </c>
      <c r="K236" s="290">
        <v>300.45</v>
      </c>
      <c r="L236" s="147">
        <v>0.18</v>
      </c>
      <c r="M236" s="147">
        <f t="shared" si="33"/>
        <v>254.62</v>
      </c>
      <c r="N236" s="147">
        <f t="shared" si="34"/>
        <v>139531.76</v>
      </c>
      <c r="O236" s="148">
        <f t="shared" si="35"/>
        <v>25115.72</v>
      </c>
    </row>
    <row r="237" spans="1:15" ht="47.25">
      <c r="A237" s="241">
        <f t="shared" si="38"/>
        <v>85</v>
      </c>
      <c r="B237" s="336" t="s">
        <v>432</v>
      </c>
      <c r="C237" s="204"/>
      <c r="D237" s="204"/>
      <c r="E237" s="237"/>
      <c r="F237" s="248">
        <v>0.18</v>
      </c>
      <c r="G237" s="238"/>
      <c r="H237" s="319" t="s">
        <v>433</v>
      </c>
      <c r="I237" s="335" t="s">
        <v>434</v>
      </c>
      <c r="J237" s="321">
        <v>90</v>
      </c>
      <c r="K237" s="290">
        <v>22.1</v>
      </c>
      <c r="L237" s="147">
        <v>0.18</v>
      </c>
      <c r="M237" s="147">
        <f t="shared" si="33"/>
        <v>18.73</v>
      </c>
      <c r="N237" s="147">
        <f t="shared" si="34"/>
        <v>1685.7</v>
      </c>
      <c r="O237" s="148">
        <f t="shared" si="35"/>
        <v>303.43</v>
      </c>
    </row>
    <row r="238" spans="1:15" ht="63">
      <c r="A238" s="241">
        <f t="shared" si="38"/>
        <v>86</v>
      </c>
      <c r="B238" s="336" t="s">
        <v>435</v>
      </c>
      <c r="C238" s="204"/>
      <c r="D238" s="204"/>
      <c r="E238" s="237"/>
      <c r="F238" s="248">
        <v>0.18</v>
      </c>
      <c r="G238" s="238"/>
      <c r="H238" s="319" t="s">
        <v>436</v>
      </c>
      <c r="I238" s="325" t="s">
        <v>306</v>
      </c>
      <c r="J238" s="321">
        <v>179</v>
      </c>
      <c r="K238" s="290">
        <v>171.1</v>
      </c>
      <c r="L238" s="147">
        <v>0.18</v>
      </c>
      <c r="M238" s="147">
        <f t="shared" si="33"/>
        <v>145</v>
      </c>
      <c r="N238" s="147">
        <f t="shared" si="34"/>
        <v>25955</v>
      </c>
      <c r="O238" s="148">
        <f t="shared" si="35"/>
        <v>4671.8999999999996</v>
      </c>
    </row>
    <row r="239" spans="1:15" ht="31.5">
      <c r="A239" s="241">
        <f t="shared" ref="A239" si="43">+A237+1</f>
        <v>86</v>
      </c>
      <c r="B239" s="336" t="s">
        <v>577</v>
      </c>
      <c r="C239" s="204"/>
      <c r="D239" s="204"/>
      <c r="E239" s="237"/>
      <c r="F239" s="248">
        <v>0.18</v>
      </c>
      <c r="G239" s="238"/>
      <c r="H239" s="319" t="s">
        <v>578</v>
      </c>
      <c r="I239" s="325" t="s">
        <v>306</v>
      </c>
      <c r="J239" s="321">
        <v>6</v>
      </c>
      <c r="K239" s="290">
        <v>70.349999999999994</v>
      </c>
      <c r="L239" s="147">
        <v>0.18</v>
      </c>
      <c r="M239" s="147">
        <f t="shared" si="33"/>
        <v>59.62</v>
      </c>
      <c r="N239" s="147">
        <f t="shared" si="34"/>
        <v>357.72</v>
      </c>
      <c r="O239" s="148">
        <f t="shared" si="35"/>
        <v>64.39</v>
      </c>
    </row>
    <row r="240" spans="1:15" ht="31.5">
      <c r="A240" s="241">
        <f t="shared" si="38"/>
        <v>87</v>
      </c>
      <c r="B240" s="336" t="s">
        <v>439</v>
      </c>
      <c r="C240" s="204"/>
      <c r="D240" s="204"/>
      <c r="E240" s="237"/>
      <c r="F240" s="248">
        <v>0.18</v>
      </c>
      <c r="G240" s="238"/>
      <c r="H240" s="319" t="s">
        <v>440</v>
      </c>
      <c r="I240" s="325" t="s">
        <v>306</v>
      </c>
      <c r="J240" s="321">
        <v>89</v>
      </c>
      <c r="K240" s="290">
        <v>155.9</v>
      </c>
      <c r="L240" s="147">
        <v>0.18</v>
      </c>
      <c r="M240" s="147">
        <f t="shared" si="33"/>
        <v>132.12</v>
      </c>
      <c r="N240" s="147">
        <f t="shared" si="34"/>
        <v>11758.68</v>
      </c>
      <c r="O240" s="148">
        <f t="shared" si="35"/>
        <v>2116.56</v>
      </c>
    </row>
    <row r="241" spans="1:15" ht="47.25">
      <c r="A241" s="241">
        <f t="shared" si="38"/>
        <v>88</v>
      </c>
      <c r="B241" s="336" t="s">
        <v>441</v>
      </c>
      <c r="C241" s="204"/>
      <c r="D241" s="204"/>
      <c r="E241" s="237"/>
      <c r="F241" s="248">
        <v>0.18</v>
      </c>
      <c r="G241" s="238"/>
      <c r="H241" s="319" t="s">
        <v>442</v>
      </c>
      <c r="I241" s="325" t="s">
        <v>306</v>
      </c>
      <c r="J241" s="321">
        <v>2412</v>
      </c>
      <c r="K241" s="290">
        <v>156.05000000000001</v>
      </c>
      <c r="L241" s="147">
        <v>0.18</v>
      </c>
      <c r="M241" s="147">
        <f t="shared" ref="M241" si="44">ROUND(K241/(1+L241),2)</f>
        <v>132.25</v>
      </c>
      <c r="N241" s="147">
        <f t="shared" ref="N241" si="45">ROUND(M241*J241,2)</f>
        <v>318987</v>
      </c>
      <c r="O241" s="362">
        <f t="shared" ref="O241" si="46">ROUND(N241*18%,2)</f>
        <v>57417.66</v>
      </c>
    </row>
    <row r="242" spans="1:15" ht="78.75">
      <c r="A242" s="241">
        <f t="shared" si="38"/>
        <v>89</v>
      </c>
      <c r="B242" s="336" t="s">
        <v>443</v>
      </c>
      <c r="C242" s="204"/>
      <c r="D242" s="204"/>
      <c r="E242" s="237"/>
      <c r="F242" s="248">
        <v>0.18</v>
      </c>
      <c r="G242" s="238"/>
      <c r="H242" s="319" t="s">
        <v>444</v>
      </c>
      <c r="I242" s="325" t="s">
        <v>306</v>
      </c>
      <c r="J242" s="321">
        <v>2412</v>
      </c>
      <c r="K242" s="290">
        <v>142.80000000000001</v>
      </c>
      <c r="L242" s="147">
        <v>0.18</v>
      </c>
      <c r="M242" s="147">
        <f t="shared" si="33"/>
        <v>121.02</v>
      </c>
      <c r="N242" s="147">
        <f t="shared" si="34"/>
        <v>291900.24</v>
      </c>
      <c r="O242" s="148">
        <f t="shared" si="35"/>
        <v>52542.04</v>
      </c>
    </row>
    <row r="243" spans="1:15" ht="63">
      <c r="A243" s="241">
        <f t="shared" ref="A243" si="47">+A241+1</f>
        <v>89</v>
      </c>
      <c r="B243" s="336" t="s">
        <v>445</v>
      </c>
      <c r="C243" s="204"/>
      <c r="D243" s="204"/>
      <c r="E243" s="237"/>
      <c r="F243" s="248">
        <v>0.18</v>
      </c>
      <c r="G243" s="238"/>
      <c r="H243" s="319" t="s">
        <v>446</v>
      </c>
      <c r="I243" s="325" t="s">
        <v>306</v>
      </c>
      <c r="J243" s="321">
        <v>2412</v>
      </c>
      <c r="K243" s="290">
        <v>73.95</v>
      </c>
      <c r="L243" s="147">
        <v>0.18</v>
      </c>
      <c r="M243" s="147">
        <f t="shared" si="33"/>
        <v>62.67</v>
      </c>
      <c r="N243" s="147">
        <f t="shared" si="34"/>
        <v>151160.04</v>
      </c>
      <c r="O243" s="148">
        <f t="shared" si="35"/>
        <v>27208.81</v>
      </c>
    </row>
    <row r="244" spans="1:15">
      <c r="A244" s="241">
        <f t="shared" si="38"/>
        <v>90</v>
      </c>
      <c r="B244" s="336" t="s">
        <v>579</v>
      </c>
      <c r="C244" s="204"/>
      <c r="D244" s="204"/>
      <c r="E244" s="237"/>
      <c r="F244" s="248">
        <v>0.18</v>
      </c>
      <c r="G244" s="238"/>
      <c r="H244" s="319" t="s">
        <v>580</v>
      </c>
      <c r="I244" s="337" t="s">
        <v>306</v>
      </c>
      <c r="J244" s="321">
        <v>47</v>
      </c>
      <c r="K244" s="290">
        <v>1192.3</v>
      </c>
      <c r="L244" s="147">
        <v>0.18</v>
      </c>
      <c r="M244" s="147">
        <f t="shared" si="33"/>
        <v>1010.42</v>
      </c>
      <c r="N244" s="147">
        <f t="shared" si="34"/>
        <v>47489.74</v>
      </c>
      <c r="O244" s="148">
        <f t="shared" si="35"/>
        <v>8548.15</v>
      </c>
    </row>
    <row r="245" spans="1:15">
      <c r="A245" s="241"/>
      <c r="B245" s="292"/>
      <c r="C245" s="204"/>
      <c r="D245" s="204"/>
      <c r="E245" s="237"/>
      <c r="F245" s="248">
        <v>0.18</v>
      </c>
      <c r="G245" s="238"/>
      <c r="H245" s="288" t="s">
        <v>581</v>
      </c>
      <c r="I245" s="293"/>
      <c r="J245" s="293"/>
      <c r="K245" s="290"/>
      <c r="L245" s="147">
        <v>0.18</v>
      </c>
      <c r="M245" s="147"/>
      <c r="N245" s="147"/>
      <c r="O245" s="148"/>
    </row>
    <row r="246" spans="1:15" ht="78.75">
      <c r="A246" s="241">
        <f>+A244+1</f>
        <v>91</v>
      </c>
      <c r="B246" s="336" t="s">
        <v>582</v>
      </c>
      <c r="C246" s="204"/>
      <c r="D246" s="204"/>
      <c r="E246" s="237"/>
      <c r="F246" s="248">
        <v>0.18</v>
      </c>
      <c r="G246" s="238"/>
      <c r="H246" s="319" t="s">
        <v>583</v>
      </c>
      <c r="I246" s="325" t="s">
        <v>359</v>
      </c>
      <c r="J246" s="321">
        <v>8</v>
      </c>
      <c r="K246" s="290">
        <v>1879.2</v>
      </c>
      <c r="L246" s="147">
        <v>0.18</v>
      </c>
      <c r="M246" s="147">
        <f t="shared" ref="M246:M283" si="48">ROUND(K246/(1+L246),2)</f>
        <v>1592.54</v>
      </c>
      <c r="N246" s="147">
        <f t="shared" ref="N246:N283" si="49">ROUND(M246*J246,2)</f>
        <v>12740.32</v>
      </c>
      <c r="O246" s="148">
        <f t="shared" ref="O246:O283" si="50">ROUND(N246*18%,2)</f>
        <v>2293.2600000000002</v>
      </c>
    </row>
    <row r="247" spans="1:15" ht="78.75">
      <c r="A247" s="241">
        <f>+A246+1</f>
        <v>92</v>
      </c>
      <c r="B247" s="336" t="s">
        <v>584</v>
      </c>
      <c r="C247" s="204"/>
      <c r="D247" s="204"/>
      <c r="E247" s="237"/>
      <c r="F247" s="248">
        <v>0.18</v>
      </c>
      <c r="G247" s="238"/>
      <c r="H247" s="319" t="s">
        <v>585</v>
      </c>
      <c r="I247" s="325" t="s">
        <v>359</v>
      </c>
      <c r="J247" s="321">
        <v>8</v>
      </c>
      <c r="K247" s="290">
        <v>7514.65</v>
      </c>
      <c r="L247" s="147">
        <v>0.18</v>
      </c>
      <c r="M247" s="147">
        <f t="shared" si="48"/>
        <v>6368.35</v>
      </c>
      <c r="N247" s="147">
        <f t="shared" si="49"/>
        <v>50946.8</v>
      </c>
      <c r="O247" s="148">
        <f t="shared" si="50"/>
        <v>9170.42</v>
      </c>
    </row>
    <row r="248" spans="1:15" ht="31.5">
      <c r="A248" s="241">
        <f t="shared" si="38"/>
        <v>93</v>
      </c>
      <c r="B248" s="336" t="s">
        <v>586</v>
      </c>
      <c r="C248" s="204"/>
      <c r="D248" s="204"/>
      <c r="E248" s="237"/>
      <c r="F248" s="248">
        <v>0.18</v>
      </c>
      <c r="G248" s="238"/>
      <c r="H248" s="319" t="s">
        <v>587</v>
      </c>
      <c r="I248" s="325"/>
      <c r="J248" s="321"/>
      <c r="K248" s="290"/>
      <c r="L248" s="147">
        <v>0.18</v>
      </c>
      <c r="M248" s="147">
        <f t="shared" si="48"/>
        <v>0</v>
      </c>
      <c r="N248" s="147">
        <f t="shared" si="49"/>
        <v>0</v>
      </c>
      <c r="O248" s="148">
        <f t="shared" si="50"/>
        <v>0</v>
      </c>
    </row>
    <row r="249" spans="1:15">
      <c r="A249" s="241">
        <f t="shared" si="38"/>
        <v>94</v>
      </c>
      <c r="B249" s="336" t="s">
        <v>588</v>
      </c>
      <c r="C249" s="204"/>
      <c r="D249" s="204"/>
      <c r="E249" s="237"/>
      <c r="F249" s="248">
        <v>0.18</v>
      </c>
      <c r="G249" s="238"/>
      <c r="H249" s="319" t="s">
        <v>589</v>
      </c>
      <c r="I249" s="325" t="s">
        <v>359</v>
      </c>
      <c r="J249" s="321">
        <v>9</v>
      </c>
      <c r="K249" s="290">
        <v>119.55</v>
      </c>
      <c r="L249" s="147">
        <v>0.18</v>
      </c>
      <c r="M249" s="147">
        <f t="shared" si="48"/>
        <v>101.31</v>
      </c>
      <c r="N249" s="147">
        <f t="shared" si="49"/>
        <v>911.79</v>
      </c>
      <c r="O249" s="148">
        <f t="shared" si="50"/>
        <v>164.12</v>
      </c>
    </row>
    <row r="250" spans="1:15">
      <c r="A250" s="241">
        <f t="shared" si="38"/>
        <v>95</v>
      </c>
      <c r="B250" s="336" t="s">
        <v>590</v>
      </c>
      <c r="C250" s="204"/>
      <c r="D250" s="204"/>
      <c r="E250" s="237"/>
      <c r="F250" s="248">
        <v>0.18</v>
      </c>
      <c r="G250" s="238"/>
      <c r="H250" s="319" t="s">
        <v>591</v>
      </c>
      <c r="I250" s="325" t="s">
        <v>359</v>
      </c>
      <c r="J250" s="321">
        <v>2</v>
      </c>
      <c r="K250" s="290">
        <v>119.55</v>
      </c>
      <c r="L250" s="147">
        <v>0.18</v>
      </c>
      <c r="M250" s="147">
        <f t="shared" si="48"/>
        <v>101.31</v>
      </c>
      <c r="N250" s="147">
        <f t="shared" si="49"/>
        <v>202.62</v>
      </c>
      <c r="O250" s="148">
        <f t="shared" si="50"/>
        <v>36.47</v>
      </c>
    </row>
    <row r="251" spans="1:15" ht="47.25">
      <c r="A251" s="241">
        <f t="shared" ref="A251" si="51">+A249+1</f>
        <v>95</v>
      </c>
      <c r="B251" s="323" t="s">
        <v>592</v>
      </c>
      <c r="C251" s="204"/>
      <c r="D251" s="204"/>
      <c r="E251" s="237"/>
      <c r="F251" s="248">
        <v>0.18</v>
      </c>
      <c r="G251" s="238"/>
      <c r="H251" s="319" t="s">
        <v>593</v>
      </c>
      <c r="I251" s="325" t="s">
        <v>359</v>
      </c>
      <c r="J251" s="321">
        <v>9</v>
      </c>
      <c r="K251" s="290">
        <v>1607.95</v>
      </c>
      <c r="L251" s="147">
        <v>0.18</v>
      </c>
      <c r="M251" s="147">
        <f t="shared" si="48"/>
        <v>1362.67</v>
      </c>
      <c r="N251" s="147">
        <f t="shared" si="49"/>
        <v>12264.03</v>
      </c>
      <c r="O251" s="148">
        <f t="shared" si="50"/>
        <v>2207.5300000000002</v>
      </c>
    </row>
    <row r="252" spans="1:15" ht="47.25">
      <c r="A252" s="241">
        <f t="shared" si="38"/>
        <v>96</v>
      </c>
      <c r="B252" s="336" t="s">
        <v>594</v>
      </c>
      <c r="C252" s="204"/>
      <c r="D252" s="204"/>
      <c r="E252" s="237"/>
      <c r="F252" s="248">
        <v>0.18</v>
      </c>
      <c r="G252" s="238"/>
      <c r="H252" s="319" t="s">
        <v>595</v>
      </c>
      <c r="I252" s="325" t="s">
        <v>359</v>
      </c>
      <c r="J252" s="321">
        <v>8</v>
      </c>
      <c r="K252" s="290">
        <v>1083.5</v>
      </c>
      <c r="L252" s="147">
        <v>0.18</v>
      </c>
      <c r="M252" s="147">
        <f t="shared" si="48"/>
        <v>918.22</v>
      </c>
      <c r="N252" s="147">
        <f t="shared" si="49"/>
        <v>7345.76</v>
      </c>
      <c r="O252" s="148">
        <f t="shared" si="50"/>
        <v>1322.24</v>
      </c>
    </row>
    <row r="253" spans="1:15">
      <c r="A253" s="241">
        <f t="shared" si="38"/>
        <v>97</v>
      </c>
      <c r="B253" s="336" t="s">
        <v>596</v>
      </c>
      <c r="C253" s="204"/>
      <c r="D253" s="204"/>
      <c r="E253" s="237"/>
      <c r="F253" s="248">
        <v>0.18</v>
      </c>
      <c r="G253" s="238"/>
      <c r="H253" s="319" t="s">
        <v>597</v>
      </c>
      <c r="I253" s="325" t="s">
        <v>359</v>
      </c>
      <c r="J253" s="321">
        <v>8</v>
      </c>
      <c r="K253" s="290">
        <v>803.7</v>
      </c>
      <c r="L253" s="147">
        <v>0.18</v>
      </c>
      <c r="M253" s="147">
        <f t="shared" si="48"/>
        <v>681.1</v>
      </c>
      <c r="N253" s="147">
        <f t="shared" si="49"/>
        <v>5448.8</v>
      </c>
      <c r="O253" s="148">
        <f t="shared" si="50"/>
        <v>980.78</v>
      </c>
    </row>
    <row r="254" spans="1:15">
      <c r="A254" s="241"/>
      <c r="B254" s="292"/>
      <c r="C254" s="204"/>
      <c r="D254" s="204"/>
      <c r="E254" s="237"/>
      <c r="F254" s="248">
        <v>0.18</v>
      </c>
      <c r="G254" s="238"/>
      <c r="H254" s="288" t="s">
        <v>598</v>
      </c>
      <c r="I254" s="293"/>
      <c r="J254" s="293"/>
      <c r="K254" s="290"/>
      <c r="L254" s="147">
        <v>0.18</v>
      </c>
      <c r="M254" s="147">
        <f t="shared" si="48"/>
        <v>0</v>
      </c>
      <c r="N254" s="147">
        <f t="shared" si="49"/>
        <v>0</v>
      </c>
      <c r="O254" s="148">
        <f t="shared" si="50"/>
        <v>0</v>
      </c>
    </row>
    <row r="255" spans="1:15" ht="94.5">
      <c r="A255" s="241">
        <f t="shared" ref="A255" si="52">+A253+1</f>
        <v>98</v>
      </c>
      <c r="B255" s="336" t="s">
        <v>451</v>
      </c>
      <c r="C255" s="204"/>
      <c r="D255" s="204"/>
      <c r="E255" s="237"/>
      <c r="F255" s="248">
        <v>0.18</v>
      </c>
      <c r="G255" s="238"/>
      <c r="H255" s="319" t="s">
        <v>452</v>
      </c>
      <c r="I255" s="325"/>
      <c r="J255" s="321"/>
      <c r="K255" s="290"/>
      <c r="L255" s="147">
        <v>0.18</v>
      </c>
      <c r="M255" s="147">
        <f t="shared" si="48"/>
        <v>0</v>
      </c>
      <c r="N255" s="147">
        <f t="shared" si="49"/>
        <v>0</v>
      </c>
      <c r="O255" s="148">
        <f t="shared" si="50"/>
        <v>0</v>
      </c>
    </row>
    <row r="256" spans="1:15">
      <c r="A256" s="241">
        <f t="shared" si="38"/>
        <v>99</v>
      </c>
      <c r="B256" s="336" t="s">
        <v>453</v>
      </c>
      <c r="C256" s="204"/>
      <c r="D256" s="204"/>
      <c r="E256" s="237"/>
      <c r="F256" s="248">
        <v>0.18</v>
      </c>
      <c r="G256" s="238"/>
      <c r="H256" s="319" t="s">
        <v>454</v>
      </c>
      <c r="I256" s="325" t="s">
        <v>284</v>
      </c>
      <c r="J256" s="321">
        <v>5</v>
      </c>
      <c r="K256" s="290">
        <v>401.55</v>
      </c>
      <c r="L256" s="147">
        <v>0.18</v>
      </c>
      <c r="M256" s="147">
        <f t="shared" si="48"/>
        <v>340.3</v>
      </c>
      <c r="N256" s="147">
        <f t="shared" si="49"/>
        <v>1701.5</v>
      </c>
      <c r="O256" s="148">
        <f t="shared" si="50"/>
        <v>306.27</v>
      </c>
    </row>
    <row r="257" spans="1:15" ht="110.25">
      <c r="A257" s="241">
        <f t="shared" si="38"/>
        <v>100</v>
      </c>
      <c r="B257" s="336" t="s">
        <v>455</v>
      </c>
      <c r="C257" s="204"/>
      <c r="D257" s="204"/>
      <c r="E257" s="237"/>
      <c r="F257" s="248">
        <v>0.18</v>
      </c>
      <c r="G257" s="238"/>
      <c r="H257" s="319" t="s">
        <v>456</v>
      </c>
      <c r="I257" s="325"/>
      <c r="J257" s="321"/>
      <c r="K257" s="290"/>
      <c r="L257" s="147">
        <v>0.18</v>
      </c>
      <c r="M257" s="147">
        <f t="shared" si="48"/>
        <v>0</v>
      </c>
      <c r="N257" s="147">
        <f t="shared" si="49"/>
        <v>0</v>
      </c>
      <c r="O257" s="148">
        <f t="shared" si="50"/>
        <v>0</v>
      </c>
    </row>
    <row r="258" spans="1:15">
      <c r="A258" s="241">
        <f t="shared" si="38"/>
        <v>101</v>
      </c>
      <c r="B258" s="336" t="s">
        <v>457</v>
      </c>
      <c r="C258" s="204"/>
      <c r="D258" s="204"/>
      <c r="E258" s="237"/>
      <c r="F258" s="248">
        <v>0.18</v>
      </c>
      <c r="G258" s="238"/>
      <c r="H258" s="319" t="s">
        <v>458</v>
      </c>
      <c r="I258" s="325" t="s">
        <v>284</v>
      </c>
      <c r="J258" s="321">
        <v>8</v>
      </c>
      <c r="K258" s="290">
        <v>497.8</v>
      </c>
      <c r="L258" s="147">
        <v>0.18</v>
      </c>
      <c r="M258" s="147">
        <f t="shared" si="48"/>
        <v>421.86</v>
      </c>
      <c r="N258" s="147">
        <f t="shared" si="49"/>
        <v>3374.88</v>
      </c>
      <c r="O258" s="148">
        <f t="shared" si="50"/>
        <v>607.48</v>
      </c>
    </row>
    <row r="259" spans="1:15">
      <c r="A259" s="241">
        <f t="shared" ref="A259" si="53">+A257+1</f>
        <v>101</v>
      </c>
      <c r="B259" s="336" t="s">
        <v>459</v>
      </c>
      <c r="C259" s="204"/>
      <c r="D259" s="204"/>
      <c r="E259" s="237"/>
      <c r="F259" s="248">
        <v>0.18</v>
      </c>
      <c r="G259" s="238"/>
      <c r="H259" s="319" t="s">
        <v>460</v>
      </c>
      <c r="I259" s="325" t="s">
        <v>284</v>
      </c>
      <c r="J259" s="321">
        <v>80</v>
      </c>
      <c r="K259" s="290">
        <v>537.6</v>
      </c>
      <c r="L259" s="147">
        <v>0.18</v>
      </c>
      <c r="M259" s="147">
        <f t="shared" si="48"/>
        <v>455.59</v>
      </c>
      <c r="N259" s="147">
        <f t="shared" si="49"/>
        <v>36447.199999999997</v>
      </c>
      <c r="O259" s="148">
        <f t="shared" si="50"/>
        <v>6560.5</v>
      </c>
    </row>
    <row r="260" spans="1:15">
      <c r="A260" s="241">
        <f t="shared" si="38"/>
        <v>102</v>
      </c>
      <c r="B260" s="336" t="s">
        <v>461</v>
      </c>
      <c r="C260" s="204"/>
      <c r="D260" s="204"/>
      <c r="E260" s="237"/>
      <c r="F260" s="248">
        <v>0.18</v>
      </c>
      <c r="G260" s="238"/>
      <c r="H260" s="319" t="s">
        <v>462</v>
      </c>
      <c r="I260" s="325" t="s">
        <v>284</v>
      </c>
      <c r="J260" s="321">
        <v>40</v>
      </c>
      <c r="K260" s="290">
        <v>627.25</v>
      </c>
      <c r="L260" s="147">
        <v>0.18</v>
      </c>
      <c r="M260" s="147">
        <f t="shared" si="48"/>
        <v>531.57000000000005</v>
      </c>
      <c r="N260" s="147">
        <f t="shared" si="49"/>
        <v>21262.799999999999</v>
      </c>
      <c r="O260" s="148">
        <f t="shared" si="50"/>
        <v>3827.3</v>
      </c>
    </row>
    <row r="261" spans="1:15">
      <c r="A261" s="241">
        <f t="shared" si="38"/>
        <v>103</v>
      </c>
      <c r="B261" s="336" t="s">
        <v>463</v>
      </c>
      <c r="C261" s="204"/>
      <c r="D261" s="204"/>
      <c r="E261" s="237"/>
      <c r="F261" s="248">
        <v>0.18</v>
      </c>
      <c r="G261" s="238"/>
      <c r="H261" s="319" t="s">
        <v>464</v>
      </c>
      <c r="I261" s="325" t="s">
        <v>284</v>
      </c>
      <c r="J261" s="321">
        <v>40</v>
      </c>
      <c r="K261" s="290">
        <v>739.3</v>
      </c>
      <c r="L261" s="147">
        <v>0.18</v>
      </c>
      <c r="M261" s="147">
        <f t="shared" si="48"/>
        <v>626.53</v>
      </c>
      <c r="N261" s="147">
        <f t="shared" si="49"/>
        <v>25061.200000000001</v>
      </c>
      <c r="O261" s="148">
        <f t="shared" si="50"/>
        <v>4511.0200000000004</v>
      </c>
    </row>
    <row r="262" spans="1:15" ht="110.25">
      <c r="A262" s="241">
        <f t="shared" si="38"/>
        <v>104</v>
      </c>
      <c r="B262" s="336" t="s">
        <v>465</v>
      </c>
      <c r="C262" s="204"/>
      <c r="D262" s="204"/>
      <c r="E262" s="237"/>
      <c r="F262" s="248">
        <v>0.18</v>
      </c>
      <c r="G262" s="238"/>
      <c r="H262" s="319" t="s">
        <v>466</v>
      </c>
      <c r="I262" s="325"/>
      <c r="J262" s="321"/>
      <c r="K262" s="290"/>
      <c r="L262" s="147">
        <v>0.18</v>
      </c>
      <c r="M262" s="147">
        <f t="shared" si="48"/>
        <v>0</v>
      </c>
      <c r="N262" s="147">
        <f t="shared" si="49"/>
        <v>0</v>
      </c>
      <c r="O262" s="148">
        <f t="shared" si="50"/>
        <v>0</v>
      </c>
    </row>
    <row r="263" spans="1:15" ht="31.5">
      <c r="A263" s="241">
        <f t="shared" ref="A263" si="54">+A261+1</f>
        <v>104</v>
      </c>
      <c r="B263" s="336" t="s">
        <v>467</v>
      </c>
      <c r="C263" s="204"/>
      <c r="D263" s="204"/>
      <c r="E263" s="237"/>
      <c r="F263" s="248">
        <v>0.18</v>
      </c>
      <c r="G263" s="238"/>
      <c r="H263" s="319" t="s">
        <v>468</v>
      </c>
      <c r="I263" s="325" t="s">
        <v>284</v>
      </c>
      <c r="J263" s="321">
        <v>20</v>
      </c>
      <c r="K263" s="290">
        <v>355.4</v>
      </c>
      <c r="L263" s="147">
        <v>0.18</v>
      </c>
      <c r="M263" s="147">
        <f t="shared" si="48"/>
        <v>301.19</v>
      </c>
      <c r="N263" s="147">
        <f t="shared" si="49"/>
        <v>6023.8</v>
      </c>
      <c r="O263" s="148">
        <f t="shared" si="50"/>
        <v>1084.28</v>
      </c>
    </row>
    <row r="264" spans="1:15">
      <c r="A264" s="241">
        <f t="shared" si="38"/>
        <v>105</v>
      </c>
      <c r="B264" s="336" t="s">
        <v>469</v>
      </c>
      <c r="C264" s="204"/>
      <c r="D264" s="204"/>
      <c r="E264" s="237"/>
      <c r="F264" s="248">
        <v>0.18</v>
      </c>
      <c r="G264" s="238"/>
      <c r="H264" s="319" t="s">
        <v>470</v>
      </c>
      <c r="I264" s="325" t="s">
        <v>284</v>
      </c>
      <c r="J264" s="321">
        <v>20</v>
      </c>
      <c r="K264" s="290">
        <v>438.6</v>
      </c>
      <c r="L264" s="147">
        <v>0.18</v>
      </c>
      <c r="M264" s="147">
        <f t="shared" si="48"/>
        <v>371.69</v>
      </c>
      <c r="N264" s="147">
        <f t="shared" si="49"/>
        <v>7433.8</v>
      </c>
      <c r="O264" s="148">
        <f t="shared" si="50"/>
        <v>1338.08</v>
      </c>
    </row>
    <row r="265" spans="1:15">
      <c r="A265" s="241">
        <f t="shared" si="38"/>
        <v>106</v>
      </c>
      <c r="B265" s="336" t="s">
        <v>471</v>
      </c>
      <c r="C265" s="204"/>
      <c r="D265" s="204"/>
      <c r="E265" s="237"/>
      <c r="F265" s="248">
        <v>0.18</v>
      </c>
      <c r="G265" s="238"/>
      <c r="H265" s="319" t="s">
        <v>472</v>
      </c>
      <c r="I265" s="325" t="s">
        <v>284</v>
      </c>
      <c r="J265" s="321">
        <v>30</v>
      </c>
      <c r="K265" s="290">
        <v>563.04999999999995</v>
      </c>
      <c r="L265" s="147">
        <v>0.18</v>
      </c>
      <c r="M265" s="147">
        <f t="shared" si="48"/>
        <v>477.16</v>
      </c>
      <c r="N265" s="147">
        <f t="shared" si="49"/>
        <v>14314.8</v>
      </c>
      <c r="O265" s="148">
        <f t="shared" si="50"/>
        <v>2576.66</v>
      </c>
    </row>
    <row r="266" spans="1:15" ht="31.5">
      <c r="A266" s="241">
        <f t="shared" si="38"/>
        <v>107</v>
      </c>
      <c r="B266" s="336" t="s">
        <v>473</v>
      </c>
      <c r="C266" s="204"/>
      <c r="D266" s="204"/>
      <c r="E266" s="237"/>
      <c r="F266" s="248">
        <v>0.18</v>
      </c>
      <c r="G266" s="238"/>
      <c r="H266" s="319" t="s">
        <v>474</v>
      </c>
      <c r="I266" s="325" t="s">
        <v>284</v>
      </c>
      <c r="J266" s="321">
        <v>40</v>
      </c>
      <c r="K266" s="290">
        <v>794.25</v>
      </c>
      <c r="L266" s="147">
        <v>0.18</v>
      </c>
      <c r="M266" s="147">
        <f t="shared" si="48"/>
        <v>673.09</v>
      </c>
      <c r="N266" s="147">
        <f t="shared" si="49"/>
        <v>26923.599999999999</v>
      </c>
      <c r="O266" s="148">
        <f t="shared" si="50"/>
        <v>4846.25</v>
      </c>
    </row>
    <row r="267" spans="1:15" ht="47.25">
      <c r="A267" s="241">
        <f t="shared" ref="A267" si="55">+A265+1</f>
        <v>107</v>
      </c>
      <c r="B267" s="336" t="s">
        <v>599</v>
      </c>
      <c r="C267" s="204"/>
      <c r="D267" s="204"/>
      <c r="E267" s="237"/>
      <c r="F267" s="248">
        <v>0.18</v>
      </c>
      <c r="G267" s="238"/>
      <c r="H267" s="319" t="s">
        <v>600</v>
      </c>
      <c r="I267" s="325" t="s">
        <v>359</v>
      </c>
      <c r="J267" s="321">
        <v>40</v>
      </c>
      <c r="K267" s="290">
        <v>222.35</v>
      </c>
      <c r="L267" s="147">
        <v>0.18</v>
      </c>
      <c r="M267" s="147">
        <f t="shared" si="48"/>
        <v>188.43</v>
      </c>
      <c r="N267" s="147">
        <f t="shared" si="49"/>
        <v>7537.2</v>
      </c>
      <c r="O267" s="148">
        <f t="shared" si="50"/>
        <v>1356.7</v>
      </c>
    </row>
    <row r="268" spans="1:15" ht="63">
      <c r="A268" s="241">
        <f t="shared" si="38"/>
        <v>108</v>
      </c>
      <c r="B268" s="336" t="s">
        <v>475</v>
      </c>
      <c r="C268" s="204"/>
      <c r="D268" s="204"/>
      <c r="E268" s="237"/>
      <c r="F268" s="248">
        <v>0.18</v>
      </c>
      <c r="G268" s="238"/>
      <c r="H268" s="319" t="s">
        <v>476</v>
      </c>
      <c r="I268" s="325" t="s">
        <v>295</v>
      </c>
      <c r="J268" s="321">
        <v>5000</v>
      </c>
      <c r="K268" s="290">
        <v>11</v>
      </c>
      <c r="L268" s="147">
        <v>0.18</v>
      </c>
      <c r="M268" s="147">
        <f t="shared" si="48"/>
        <v>9.32</v>
      </c>
      <c r="N268" s="147">
        <f t="shared" si="49"/>
        <v>46600</v>
      </c>
      <c r="O268" s="340">
        <f t="shared" si="50"/>
        <v>8388</v>
      </c>
    </row>
    <row r="269" spans="1:15" ht="47.25">
      <c r="A269" s="241">
        <f t="shared" si="38"/>
        <v>109</v>
      </c>
      <c r="B269" s="336" t="s">
        <v>601</v>
      </c>
      <c r="C269" s="204"/>
      <c r="D269" s="204"/>
      <c r="E269" s="237"/>
      <c r="F269" s="248">
        <v>0.18</v>
      </c>
      <c r="G269" s="238"/>
      <c r="H269" s="319" t="s">
        <v>602</v>
      </c>
      <c r="I269" s="325" t="s">
        <v>359</v>
      </c>
      <c r="J269" s="321">
        <v>40</v>
      </c>
      <c r="K269" s="290">
        <v>574.29999999999995</v>
      </c>
      <c r="L269" s="147">
        <v>0.18</v>
      </c>
      <c r="M269" s="147">
        <f t="shared" si="48"/>
        <v>486.69</v>
      </c>
      <c r="N269" s="147">
        <f t="shared" si="49"/>
        <v>19467.599999999999</v>
      </c>
      <c r="O269" s="148">
        <f t="shared" si="50"/>
        <v>3504.17</v>
      </c>
    </row>
    <row r="270" spans="1:15" ht="31.5">
      <c r="A270" s="241">
        <f t="shared" si="38"/>
        <v>110</v>
      </c>
      <c r="B270" s="336" t="s">
        <v>477</v>
      </c>
      <c r="C270" s="204"/>
      <c r="D270" s="204"/>
      <c r="E270" s="237"/>
      <c r="F270" s="248">
        <v>0.18</v>
      </c>
      <c r="G270" s="238"/>
      <c r="H270" s="319" t="s">
        <v>478</v>
      </c>
      <c r="I270" s="325" t="s">
        <v>359</v>
      </c>
      <c r="J270" s="321">
        <v>40</v>
      </c>
      <c r="K270" s="290">
        <v>74.8</v>
      </c>
      <c r="L270" s="147">
        <v>0.18</v>
      </c>
      <c r="M270" s="147">
        <f t="shared" si="48"/>
        <v>63.39</v>
      </c>
      <c r="N270" s="147">
        <f t="shared" si="49"/>
        <v>2535.6</v>
      </c>
      <c r="O270" s="148">
        <f t="shared" si="50"/>
        <v>456.41</v>
      </c>
    </row>
    <row r="271" spans="1:15" ht="63">
      <c r="A271" s="241">
        <f>+A270+1</f>
        <v>111</v>
      </c>
      <c r="B271" s="336" t="s">
        <v>603</v>
      </c>
      <c r="C271" s="204"/>
      <c r="D271" s="204"/>
      <c r="E271" s="237"/>
      <c r="F271" s="248">
        <v>0.18</v>
      </c>
      <c r="G271" s="238"/>
      <c r="H271" s="319" t="s">
        <v>604</v>
      </c>
      <c r="I271" s="325" t="s">
        <v>359</v>
      </c>
      <c r="J271" s="321">
        <v>8</v>
      </c>
      <c r="K271" s="290">
        <v>452</v>
      </c>
      <c r="L271" s="147">
        <v>0.18</v>
      </c>
      <c r="M271" s="147">
        <f t="shared" si="48"/>
        <v>383.05</v>
      </c>
      <c r="N271" s="147">
        <f t="shared" si="49"/>
        <v>3064.4</v>
      </c>
      <c r="O271" s="148">
        <f t="shared" si="50"/>
        <v>551.59</v>
      </c>
    </row>
    <row r="272" spans="1:15">
      <c r="A272" s="241"/>
      <c r="B272" s="292"/>
      <c r="C272" s="204"/>
      <c r="D272" s="204"/>
      <c r="E272" s="237"/>
      <c r="F272" s="248">
        <v>0.18</v>
      </c>
      <c r="G272" s="238"/>
      <c r="H272" s="288" t="s">
        <v>479</v>
      </c>
      <c r="I272" s="293"/>
      <c r="J272" s="293"/>
      <c r="K272" s="290"/>
      <c r="L272" s="147">
        <v>0.18</v>
      </c>
      <c r="M272" s="147">
        <f t="shared" si="48"/>
        <v>0</v>
      </c>
      <c r="N272" s="147">
        <f t="shared" si="49"/>
        <v>0</v>
      </c>
      <c r="O272" s="148">
        <f t="shared" si="50"/>
        <v>0</v>
      </c>
    </row>
    <row r="273" spans="1:15" ht="78.75">
      <c r="A273" s="241">
        <f>+A271+1</f>
        <v>112</v>
      </c>
      <c r="B273" s="336" t="s">
        <v>480</v>
      </c>
      <c r="C273" s="204"/>
      <c r="D273" s="204"/>
      <c r="E273" s="237"/>
      <c r="F273" s="248">
        <v>0.18</v>
      </c>
      <c r="G273" s="238"/>
      <c r="H273" s="319" t="s">
        <v>481</v>
      </c>
      <c r="I273" s="325" t="s">
        <v>359</v>
      </c>
      <c r="J273" s="321">
        <v>4</v>
      </c>
      <c r="K273" s="290">
        <v>2707.65</v>
      </c>
      <c r="L273" s="147">
        <v>0.18</v>
      </c>
      <c r="M273" s="147">
        <f t="shared" si="48"/>
        <v>2294.62</v>
      </c>
      <c r="N273" s="147">
        <f t="shared" si="49"/>
        <v>9178.48</v>
      </c>
      <c r="O273" s="148">
        <f t="shared" si="50"/>
        <v>1652.13</v>
      </c>
    </row>
    <row r="274" spans="1:15" ht="47.25">
      <c r="A274" s="241">
        <f t="shared" ref="A274:A283" si="56">+A273+1</f>
        <v>113</v>
      </c>
      <c r="B274" s="336" t="s">
        <v>482</v>
      </c>
      <c r="C274" s="204"/>
      <c r="D274" s="204"/>
      <c r="E274" s="237"/>
      <c r="F274" s="248">
        <v>0.18</v>
      </c>
      <c r="G274" s="238"/>
      <c r="H274" s="319" t="s">
        <v>483</v>
      </c>
      <c r="I274" s="325"/>
      <c r="J274" s="321"/>
      <c r="K274" s="290"/>
      <c r="L274" s="147">
        <v>0.18</v>
      </c>
      <c r="M274" s="147">
        <f t="shared" si="48"/>
        <v>0</v>
      </c>
      <c r="N274" s="147">
        <f t="shared" si="49"/>
        <v>0</v>
      </c>
      <c r="O274" s="148">
        <f t="shared" si="50"/>
        <v>0</v>
      </c>
    </row>
    <row r="275" spans="1:15">
      <c r="A275" s="241">
        <f>+A274+1</f>
        <v>114</v>
      </c>
      <c r="B275" s="336" t="s">
        <v>484</v>
      </c>
      <c r="C275" s="204"/>
      <c r="D275" s="204"/>
      <c r="E275" s="237"/>
      <c r="F275" s="248">
        <v>0.18</v>
      </c>
      <c r="G275" s="238"/>
      <c r="H275" s="319" t="s">
        <v>485</v>
      </c>
      <c r="I275" s="325" t="s">
        <v>284</v>
      </c>
      <c r="J275" s="321">
        <v>15</v>
      </c>
      <c r="K275" s="290">
        <v>899.8</v>
      </c>
      <c r="L275" s="147">
        <v>0.18</v>
      </c>
      <c r="M275" s="147">
        <f t="shared" si="48"/>
        <v>762.54</v>
      </c>
      <c r="N275" s="147">
        <f t="shared" si="49"/>
        <v>11438.1</v>
      </c>
      <c r="O275" s="148">
        <f t="shared" si="50"/>
        <v>2058.86</v>
      </c>
    </row>
    <row r="276" spans="1:15">
      <c r="A276" s="241">
        <f t="shared" si="56"/>
        <v>115</v>
      </c>
      <c r="B276" s="336" t="s">
        <v>486</v>
      </c>
      <c r="C276" s="204"/>
      <c r="D276" s="204"/>
      <c r="E276" s="237"/>
      <c r="F276" s="248">
        <v>0.18</v>
      </c>
      <c r="G276" s="238"/>
      <c r="H276" s="319" t="s">
        <v>487</v>
      </c>
      <c r="I276" s="325" t="s">
        <v>284</v>
      </c>
      <c r="J276" s="321">
        <v>10</v>
      </c>
      <c r="K276" s="290">
        <v>994.3</v>
      </c>
      <c r="L276" s="147">
        <v>0.18</v>
      </c>
      <c r="M276" s="147">
        <f t="shared" si="48"/>
        <v>842.63</v>
      </c>
      <c r="N276" s="147">
        <f t="shared" si="49"/>
        <v>8426.2999999999993</v>
      </c>
      <c r="O276" s="148">
        <f t="shared" si="50"/>
        <v>1516.73</v>
      </c>
    </row>
    <row r="277" spans="1:15">
      <c r="A277" s="241">
        <f t="shared" ref="A277" si="57">+A275+1</f>
        <v>115</v>
      </c>
      <c r="B277" s="336" t="s">
        <v>488</v>
      </c>
      <c r="C277" s="204"/>
      <c r="D277" s="204"/>
      <c r="E277" s="237"/>
      <c r="F277" s="248">
        <v>0.18</v>
      </c>
      <c r="G277" s="238"/>
      <c r="H277" s="319" t="s">
        <v>489</v>
      </c>
      <c r="I277" s="325" t="s">
        <v>284</v>
      </c>
      <c r="J277" s="321">
        <v>10</v>
      </c>
      <c r="K277" s="290">
        <v>1620.95</v>
      </c>
      <c r="L277" s="147">
        <v>0.18</v>
      </c>
      <c r="M277" s="147">
        <f t="shared" si="48"/>
        <v>1373.69</v>
      </c>
      <c r="N277" s="147">
        <f t="shared" si="49"/>
        <v>13736.9</v>
      </c>
      <c r="O277" s="148">
        <f t="shared" si="50"/>
        <v>2472.64</v>
      </c>
    </row>
    <row r="278" spans="1:15" ht="204.75">
      <c r="A278" s="241">
        <f t="shared" si="56"/>
        <v>116</v>
      </c>
      <c r="B278" s="336" t="s">
        <v>490</v>
      </c>
      <c r="C278" s="204"/>
      <c r="D278" s="204"/>
      <c r="E278" s="237"/>
      <c r="F278" s="248">
        <v>0.18</v>
      </c>
      <c r="G278" s="238"/>
      <c r="H278" s="319" t="s">
        <v>491</v>
      </c>
      <c r="I278" s="325" t="s">
        <v>359</v>
      </c>
      <c r="J278" s="321">
        <v>4</v>
      </c>
      <c r="K278" s="290">
        <v>12770.55</v>
      </c>
      <c r="L278" s="147">
        <v>0.18</v>
      </c>
      <c r="M278" s="147">
        <f t="shared" si="48"/>
        <v>10822.5</v>
      </c>
      <c r="N278" s="147">
        <f t="shared" si="49"/>
        <v>43290</v>
      </c>
      <c r="O278" s="148">
        <f t="shared" si="50"/>
        <v>7792.2</v>
      </c>
    </row>
    <row r="279" spans="1:15">
      <c r="A279" s="241"/>
      <c r="B279" s="336"/>
      <c r="C279" s="204"/>
      <c r="D279" s="204"/>
      <c r="E279" s="237"/>
      <c r="F279" s="248"/>
      <c r="G279" s="238"/>
      <c r="H279" s="364" t="s">
        <v>492</v>
      </c>
      <c r="I279" s="337"/>
      <c r="J279" s="363"/>
      <c r="K279" s="290"/>
      <c r="L279" s="147"/>
      <c r="M279" s="147"/>
      <c r="N279" s="147"/>
      <c r="O279" s="148"/>
    </row>
    <row r="280" spans="1:15">
      <c r="A280" s="241"/>
      <c r="B280" s="292"/>
      <c r="C280" s="204"/>
      <c r="D280" s="204"/>
      <c r="E280" s="237"/>
      <c r="F280" s="248">
        <v>0.18</v>
      </c>
      <c r="G280" s="238"/>
      <c r="H280" s="288" t="s">
        <v>505</v>
      </c>
      <c r="I280" s="338"/>
      <c r="J280" s="338"/>
      <c r="K280" s="290"/>
      <c r="L280" s="147">
        <v>0.18</v>
      </c>
      <c r="M280" s="147">
        <f t="shared" si="48"/>
        <v>0</v>
      </c>
      <c r="N280" s="147">
        <f t="shared" si="49"/>
        <v>0</v>
      </c>
      <c r="O280" s="148">
        <f t="shared" si="50"/>
        <v>0</v>
      </c>
    </row>
    <row r="281" spans="1:15" ht="263.25" customHeight="1">
      <c r="A281" s="241">
        <f>+A278+1</f>
        <v>117</v>
      </c>
      <c r="B281" s="336" t="s">
        <v>605</v>
      </c>
      <c r="C281" s="204"/>
      <c r="D281" s="204"/>
      <c r="E281" s="237"/>
      <c r="F281" s="248">
        <v>0.18</v>
      </c>
      <c r="G281" s="238"/>
      <c r="H281" s="319" t="s">
        <v>606</v>
      </c>
      <c r="I281" s="325" t="s">
        <v>306</v>
      </c>
      <c r="J281" s="339">
        <v>27</v>
      </c>
      <c r="K281" s="290">
        <v>769.6</v>
      </c>
      <c r="L281" s="147">
        <v>0.18</v>
      </c>
      <c r="M281" s="147">
        <f t="shared" si="48"/>
        <v>652.20000000000005</v>
      </c>
      <c r="N281" s="147">
        <f t="shared" si="49"/>
        <v>17609.400000000001</v>
      </c>
      <c r="O281" s="148">
        <f t="shared" si="50"/>
        <v>3169.69</v>
      </c>
    </row>
    <row r="282" spans="1:15" ht="294" customHeight="1">
      <c r="A282" s="241">
        <f>+A281+1</f>
        <v>118</v>
      </c>
      <c r="B282" s="336" t="s">
        <v>607</v>
      </c>
      <c r="C282" s="204"/>
      <c r="D282" s="204"/>
      <c r="E282" s="237"/>
      <c r="F282" s="248">
        <v>0.18</v>
      </c>
      <c r="G282" s="238"/>
      <c r="H282" s="319" t="s">
        <v>608</v>
      </c>
      <c r="I282" s="325" t="s">
        <v>306</v>
      </c>
      <c r="J282" s="339">
        <v>42</v>
      </c>
      <c r="K282" s="290">
        <v>688.9</v>
      </c>
      <c r="L282" s="147">
        <v>0.18</v>
      </c>
      <c r="M282" s="147">
        <f t="shared" si="48"/>
        <v>583.80999999999995</v>
      </c>
      <c r="N282" s="147">
        <f t="shared" si="49"/>
        <v>24520.02</v>
      </c>
      <c r="O282" s="148">
        <f t="shared" si="50"/>
        <v>4413.6000000000004</v>
      </c>
    </row>
    <row r="283" spans="1:15" ht="409.5">
      <c r="A283" s="241">
        <f t="shared" si="56"/>
        <v>119</v>
      </c>
      <c r="B283" s="336" t="s">
        <v>506</v>
      </c>
      <c r="C283" s="204"/>
      <c r="D283" s="204"/>
      <c r="E283" s="237"/>
      <c r="F283" s="248">
        <v>0.18</v>
      </c>
      <c r="G283" s="238"/>
      <c r="H283" s="319" t="s">
        <v>507</v>
      </c>
      <c r="I283" s="325" t="s">
        <v>306</v>
      </c>
      <c r="J283" s="339">
        <v>224</v>
      </c>
      <c r="K283" s="290">
        <v>1684.6</v>
      </c>
      <c r="L283" s="147">
        <v>0.18</v>
      </c>
      <c r="M283" s="147">
        <f t="shared" si="48"/>
        <v>1427.63</v>
      </c>
      <c r="N283" s="147">
        <f t="shared" si="49"/>
        <v>319789.12</v>
      </c>
      <c r="O283" s="148">
        <f t="shared" si="50"/>
        <v>57562.04</v>
      </c>
    </row>
    <row r="284" spans="1:15">
      <c r="A284" s="241"/>
      <c r="B284" s="292"/>
      <c r="C284" s="204"/>
      <c r="D284" s="204"/>
      <c r="E284" s="237"/>
      <c r="F284" s="248">
        <v>0.18</v>
      </c>
      <c r="G284" s="238"/>
      <c r="H284" s="288" t="s">
        <v>609</v>
      </c>
      <c r="I284" s="338"/>
      <c r="J284" s="338"/>
      <c r="K284" s="290"/>
      <c r="L284" s="147">
        <v>0.18</v>
      </c>
      <c r="M284" s="147"/>
      <c r="N284" s="147"/>
      <c r="O284" s="148"/>
    </row>
    <row r="285" spans="1:15" ht="330.75">
      <c r="A285" s="241">
        <f>+A283+1</f>
        <v>120</v>
      </c>
      <c r="B285" s="336" t="s">
        <v>508</v>
      </c>
      <c r="C285" s="204"/>
      <c r="D285" s="204"/>
      <c r="E285" s="237"/>
      <c r="F285" s="248">
        <v>0.18</v>
      </c>
      <c r="G285" s="238"/>
      <c r="H285" s="319" t="s">
        <v>509</v>
      </c>
      <c r="I285" s="325" t="s">
        <v>306</v>
      </c>
      <c r="J285" s="339">
        <v>40</v>
      </c>
      <c r="K285" s="290">
        <v>1111.3</v>
      </c>
      <c r="L285" s="147">
        <v>0.18</v>
      </c>
      <c r="M285" s="147">
        <f t="shared" ref="M285:M286" si="58">ROUND(K285/(1+L285),2)</f>
        <v>941.78</v>
      </c>
      <c r="N285" s="147">
        <f t="shared" ref="N285:N286" si="59">ROUND(M285*J285,2)</f>
        <v>37671.199999999997</v>
      </c>
      <c r="O285" s="148">
        <f t="shared" ref="O285:O286" si="60">ROUND(N285*18%,2)</f>
        <v>6780.82</v>
      </c>
    </row>
    <row r="286" spans="1:15" ht="267.75">
      <c r="A286" s="241">
        <f>+A285+1</f>
        <v>121</v>
      </c>
      <c r="B286" s="336" t="s">
        <v>510</v>
      </c>
      <c r="C286" s="204"/>
      <c r="D286" s="204"/>
      <c r="E286" s="237"/>
      <c r="F286" s="248">
        <v>0.18</v>
      </c>
      <c r="G286" s="238"/>
      <c r="H286" s="319" t="s">
        <v>511</v>
      </c>
      <c r="I286" s="325" t="s">
        <v>306</v>
      </c>
      <c r="J286" s="339">
        <v>13</v>
      </c>
      <c r="K286" s="290">
        <v>4346.7</v>
      </c>
      <c r="L286" s="147">
        <v>0.18</v>
      </c>
      <c r="M286" s="147">
        <f t="shared" si="58"/>
        <v>3683.64</v>
      </c>
      <c r="N286" s="147">
        <f t="shared" si="59"/>
        <v>47887.32</v>
      </c>
      <c r="O286" s="148">
        <f t="shared" si="60"/>
        <v>8619.7199999999993</v>
      </c>
    </row>
    <row r="287" spans="1:15" ht="36">
      <c r="A287" s="257"/>
      <c r="B287" s="258"/>
      <c r="C287" s="259"/>
      <c r="D287" s="260"/>
      <c r="E287" s="261"/>
      <c r="F287" s="262"/>
      <c r="G287" s="263"/>
      <c r="H287" s="264" t="s">
        <v>610</v>
      </c>
      <c r="I287" s="299"/>
      <c r="J287" s="265"/>
      <c r="K287" s="291"/>
      <c r="L287" s="267"/>
      <c r="M287" s="266"/>
      <c r="N287" s="268">
        <f>SUM(N140:N286)</f>
        <v>11676679.689999999</v>
      </c>
      <c r="O287" s="268">
        <f>SUM(O140:O286)</f>
        <v>2101802.3700000006</v>
      </c>
    </row>
    <row r="288" spans="1:15">
      <c r="A288" s="241"/>
      <c r="B288" s="336"/>
      <c r="C288" s="204"/>
      <c r="D288" s="204"/>
      <c r="E288" s="237"/>
      <c r="F288" s="248"/>
      <c r="G288" s="238"/>
      <c r="H288" s="319"/>
      <c r="I288" s="325"/>
      <c r="J288" s="339"/>
      <c r="K288" s="290"/>
      <c r="L288" s="147"/>
      <c r="M288" s="147"/>
      <c r="N288" s="147"/>
      <c r="O288" s="148"/>
    </row>
    <row r="289" spans="1:15">
      <c r="A289" s="241"/>
      <c r="B289" s="292"/>
      <c r="C289" s="204"/>
      <c r="D289" s="204"/>
      <c r="E289" s="237"/>
      <c r="F289" s="248"/>
      <c r="G289" s="238"/>
      <c r="H289" s="328"/>
      <c r="I289" s="339"/>
      <c r="J289" s="339"/>
      <c r="K289" s="290"/>
      <c r="L289" s="147"/>
      <c r="M289" s="147"/>
      <c r="N289" s="147"/>
      <c r="O289" s="148"/>
    </row>
    <row r="290" spans="1:15" ht="36">
      <c r="A290" s="217"/>
      <c r="B290" s="211" t="s">
        <v>611</v>
      </c>
      <c r="C290" s="212"/>
      <c r="D290" s="213"/>
      <c r="E290" s="214"/>
      <c r="F290" s="215"/>
      <c r="G290" s="216"/>
      <c r="H290" s="242" t="s">
        <v>612</v>
      </c>
      <c r="I290" s="298"/>
      <c r="J290" s="218"/>
      <c r="K290" s="291"/>
      <c r="L290" s="220"/>
      <c r="M290" s="219"/>
      <c r="N290" s="219"/>
      <c r="O290" s="218"/>
    </row>
    <row r="291" spans="1:15" ht="90">
      <c r="A291" s="241">
        <v>1</v>
      </c>
      <c r="B291" s="292" t="s">
        <v>613</v>
      </c>
      <c r="C291" s="149"/>
      <c r="D291" s="149"/>
      <c r="E291" s="237"/>
      <c r="F291" s="248">
        <v>0.18</v>
      </c>
      <c r="G291" s="238"/>
      <c r="H291" s="304" t="s">
        <v>614</v>
      </c>
      <c r="I291" s="303" t="s">
        <v>615</v>
      </c>
      <c r="J291" s="303">
        <v>107</v>
      </c>
      <c r="K291" s="305">
        <v>1467</v>
      </c>
      <c r="L291" s="146">
        <v>0.12</v>
      </c>
      <c r="M291" s="147">
        <f>ROUND(K291/(1+L291),2)</f>
        <v>1309.82</v>
      </c>
      <c r="N291" s="147">
        <f t="shared" ref="N291:N308" si="61">ROUND(M291*J291,2)</f>
        <v>140150.74</v>
      </c>
      <c r="O291" s="148">
        <f t="shared" ref="O291:O308" si="62">ROUND(N291*18%,2)</f>
        <v>25227.13</v>
      </c>
    </row>
    <row r="292" spans="1:15" ht="90">
      <c r="A292" s="241">
        <f t="shared" ref="A292:A315" si="63">+A291+1</f>
        <v>2</v>
      </c>
      <c r="B292" s="292" t="s">
        <v>616</v>
      </c>
      <c r="C292" s="149"/>
      <c r="D292" s="149"/>
      <c r="E292" s="237"/>
      <c r="F292" s="248">
        <v>0.18</v>
      </c>
      <c r="G292" s="238"/>
      <c r="H292" s="304" t="s">
        <v>617</v>
      </c>
      <c r="I292" s="295" t="s">
        <v>615</v>
      </c>
      <c r="J292" s="293">
        <v>194</v>
      </c>
      <c r="K292" s="290">
        <v>858</v>
      </c>
      <c r="L292" s="146">
        <v>0.12</v>
      </c>
      <c r="M292" s="147">
        <f t="shared" ref="M292:M308" si="64">ROUND(K292/(1+L292),2)</f>
        <v>766.07</v>
      </c>
      <c r="N292" s="147">
        <f t="shared" si="61"/>
        <v>148617.57999999999</v>
      </c>
      <c r="O292" s="148">
        <f t="shared" si="62"/>
        <v>26751.16</v>
      </c>
    </row>
    <row r="293" spans="1:15" ht="75">
      <c r="A293" s="241">
        <f t="shared" si="63"/>
        <v>3</v>
      </c>
      <c r="B293" s="292">
        <v>1.1100000000000001</v>
      </c>
      <c r="C293" s="149"/>
      <c r="D293" s="149"/>
      <c r="E293" s="237"/>
      <c r="F293" s="248">
        <v>0.18</v>
      </c>
      <c r="G293" s="238"/>
      <c r="H293" s="304" t="s">
        <v>618</v>
      </c>
      <c r="I293" s="295" t="s">
        <v>615</v>
      </c>
      <c r="J293" s="293">
        <v>4</v>
      </c>
      <c r="K293" s="290">
        <v>1562</v>
      </c>
      <c r="L293" s="146">
        <v>0.12</v>
      </c>
      <c r="M293" s="147">
        <f t="shared" si="64"/>
        <v>1394.64</v>
      </c>
      <c r="N293" s="147">
        <f t="shared" si="61"/>
        <v>5578.56</v>
      </c>
      <c r="O293" s="148">
        <f t="shared" si="62"/>
        <v>1004.14</v>
      </c>
    </row>
    <row r="294" spans="1:15" ht="60">
      <c r="A294" s="241">
        <f t="shared" si="63"/>
        <v>4</v>
      </c>
      <c r="B294" s="292" t="s">
        <v>619</v>
      </c>
      <c r="C294" s="149"/>
      <c r="D294" s="149"/>
      <c r="E294" s="237"/>
      <c r="F294" s="248">
        <v>0.18</v>
      </c>
      <c r="G294" s="238"/>
      <c r="H294" s="304" t="s">
        <v>620</v>
      </c>
      <c r="I294" s="295" t="s">
        <v>284</v>
      </c>
      <c r="J294" s="293">
        <v>1255</v>
      </c>
      <c r="K294" s="290">
        <v>275</v>
      </c>
      <c r="L294" s="146">
        <v>0.12</v>
      </c>
      <c r="M294" s="147">
        <f t="shared" si="64"/>
        <v>245.54</v>
      </c>
      <c r="N294" s="147">
        <f t="shared" si="61"/>
        <v>308152.7</v>
      </c>
      <c r="O294" s="148">
        <f t="shared" si="62"/>
        <v>55467.49</v>
      </c>
    </row>
    <row r="295" spans="1:15" ht="60">
      <c r="A295" s="241">
        <f t="shared" si="63"/>
        <v>5</v>
      </c>
      <c r="B295" s="292" t="s">
        <v>621</v>
      </c>
      <c r="C295" s="149"/>
      <c r="D295" s="149"/>
      <c r="E295" s="237"/>
      <c r="F295" s="248">
        <v>0.18</v>
      </c>
      <c r="G295" s="238"/>
      <c r="H295" s="304" t="s">
        <v>622</v>
      </c>
      <c r="I295" s="295" t="s">
        <v>284</v>
      </c>
      <c r="J295" s="293">
        <v>515</v>
      </c>
      <c r="K295" s="290">
        <v>334</v>
      </c>
      <c r="L295" s="146">
        <v>0.12</v>
      </c>
      <c r="M295" s="147">
        <f t="shared" si="64"/>
        <v>298.20999999999998</v>
      </c>
      <c r="N295" s="147">
        <f t="shared" si="61"/>
        <v>153578.15</v>
      </c>
      <c r="O295" s="148">
        <f t="shared" si="62"/>
        <v>27644.07</v>
      </c>
    </row>
    <row r="296" spans="1:15" ht="60">
      <c r="A296" s="241">
        <f>+A295+1</f>
        <v>6</v>
      </c>
      <c r="B296" s="292" t="s">
        <v>623</v>
      </c>
      <c r="C296" s="149"/>
      <c r="D296" s="149"/>
      <c r="E296" s="237"/>
      <c r="F296" s="248">
        <v>0.18</v>
      </c>
      <c r="G296" s="238"/>
      <c r="H296" s="304" t="s">
        <v>624</v>
      </c>
      <c r="I296" s="295" t="s">
        <v>284</v>
      </c>
      <c r="J296" s="293">
        <v>231</v>
      </c>
      <c r="K296" s="290">
        <v>439</v>
      </c>
      <c r="L296" s="146">
        <v>0.12</v>
      </c>
      <c r="M296" s="147">
        <f t="shared" si="64"/>
        <v>391.96</v>
      </c>
      <c r="N296" s="147">
        <f t="shared" si="61"/>
        <v>90542.76</v>
      </c>
      <c r="O296" s="148">
        <f t="shared" si="62"/>
        <v>16297.7</v>
      </c>
    </row>
    <row r="297" spans="1:15" ht="60">
      <c r="A297" s="241">
        <f>+A296+1</f>
        <v>7</v>
      </c>
      <c r="B297" s="292" t="s">
        <v>625</v>
      </c>
      <c r="C297" s="149"/>
      <c r="D297" s="149"/>
      <c r="E297" s="237"/>
      <c r="F297" s="248">
        <v>0.18</v>
      </c>
      <c r="G297" s="238"/>
      <c r="H297" s="304" t="s">
        <v>626</v>
      </c>
      <c r="I297" s="295" t="s">
        <v>359</v>
      </c>
      <c r="J297" s="293">
        <v>23</v>
      </c>
      <c r="K297" s="290">
        <v>103</v>
      </c>
      <c r="L297" s="146">
        <v>0.12</v>
      </c>
      <c r="M297" s="147">
        <f t="shared" si="64"/>
        <v>91.96</v>
      </c>
      <c r="N297" s="147">
        <f t="shared" si="61"/>
        <v>2115.08</v>
      </c>
      <c r="O297" s="148">
        <f t="shared" si="62"/>
        <v>380.71</v>
      </c>
    </row>
    <row r="298" spans="1:15" ht="60">
      <c r="A298" s="241">
        <f t="shared" si="63"/>
        <v>8</v>
      </c>
      <c r="B298" s="292" t="s">
        <v>627</v>
      </c>
      <c r="C298" s="149"/>
      <c r="D298" s="149"/>
      <c r="E298" s="237"/>
      <c r="F298" s="248">
        <v>0.18</v>
      </c>
      <c r="G298" s="238"/>
      <c r="H298" s="304" t="s">
        <v>628</v>
      </c>
      <c r="I298" s="295" t="s">
        <v>359</v>
      </c>
      <c r="J298" s="293">
        <v>18</v>
      </c>
      <c r="K298" s="290">
        <v>156</v>
      </c>
      <c r="L298" s="146">
        <v>0.12</v>
      </c>
      <c r="M298" s="147">
        <f t="shared" si="64"/>
        <v>139.29</v>
      </c>
      <c r="N298" s="147">
        <f t="shared" si="61"/>
        <v>2507.2199999999998</v>
      </c>
      <c r="O298" s="148">
        <f t="shared" si="62"/>
        <v>451.3</v>
      </c>
    </row>
    <row r="299" spans="1:15" ht="60">
      <c r="A299" s="241">
        <f t="shared" si="63"/>
        <v>9</v>
      </c>
      <c r="B299" s="292" t="s">
        <v>629</v>
      </c>
      <c r="C299" s="149"/>
      <c r="D299" s="149"/>
      <c r="E299" s="237"/>
      <c r="F299" s="248">
        <v>0.18</v>
      </c>
      <c r="G299" s="238"/>
      <c r="H299" s="304" t="s">
        <v>630</v>
      </c>
      <c r="I299" s="295" t="s">
        <v>359</v>
      </c>
      <c r="J299" s="293">
        <v>23</v>
      </c>
      <c r="K299" s="290">
        <v>122</v>
      </c>
      <c r="L299" s="146">
        <v>0.12</v>
      </c>
      <c r="M299" s="147">
        <f t="shared" si="64"/>
        <v>108.93</v>
      </c>
      <c r="N299" s="147">
        <f t="shared" si="61"/>
        <v>2505.39</v>
      </c>
      <c r="O299" s="148">
        <f t="shared" si="62"/>
        <v>450.97</v>
      </c>
    </row>
    <row r="300" spans="1:15" ht="60">
      <c r="A300" s="241">
        <f t="shared" si="63"/>
        <v>10</v>
      </c>
      <c r="B300" s="292" t="s">
        <v>631</v>
      </c>
      <c r="C300" s="149"/>
      <c r="D300" s="149"/>
      <c r="E300" s="237"/>
      <c r="F300" s="248">
        <v>0.18</v>
      </c>
      <c r="G300" s="238"/>
      <c r="H300" s="304" t="s">
        <v>632</v>
      </c>
      <c r="I300" s="295" t="s">
        <v>359</v>
      </c>
      <c r="J300" s="293">
        <v>18</v>
      </c>
      <c r="K300" s="290">
        <v>197</v>
      </c>
      <c r="L300" s="146">
        <v>0.12</v>
      </c>
      <c r="M300" s="147">
        <f t="shared" si="64"/>
        <v>175.89</v>
      </c>
      <c r="N300" s="147">
        <f t="shared" si="61"/>
        <v>3166.02</v>
      </c>
      <c r="O300" s="148">
        <f t="shared" si="62"/>
        <v>569.88</v>
      </c>
    </row>
    <row r="301" spans="1:15" ht="45">
      <c r="A301" s="241">
        <f>+A300+1</f>
        <v>11</v>
      </c>
      <c r="B301" s="292">
        <v>1.25</v>
      </c>
      <c r="C301" s="149"/>
      <c r="D301" s="149"/>
      <c r="E301" s="237"/>
      <c r="F301" s="248">
        <v>0.18</v>
      </c>
      <c r="G301" s="238"/>
      <c r="H301" s="304" t="s">
        <v>633</v>
      </c>
      <c r="I301" s="295" t="s">
        <v>359</v>
      </c>
      <c r="J301" s="293">
        <v>28</v>
      </c>
      <c r="K301" s="290">
        <v>369</v>
      </c>
      <c r="L301" s="146">
        <v>0.12</v>
      </c>
      <c r="M301" s="147">
        <f t="shared" si="64"/>
        <v>329.46</v>
      </c>
      <c r="N301" s="147">
        <f t="shared" si="61"/>
        <v>9224.8799999999992</v>
      </c>
      <c r="O301" s="148">
        <f t="shared" si="62"/>
        <v>1660.48</v>
      </c>
    </row>
    <row r="302" spans="1:15" ht="60">
      <c r="A302" s="241">
        <f t="shared" si="63"/>
        <v>12</v>
      </c>
      <c r="B302" s="292" t="s">
        <v>634</v>
      </c>
      <c r="C302" s="149"/>
      <c r="D302" s="149"/>
      <c r="E302" s="237"/>
      <c r="F302" s="248">
        <v>0.18</v>
      </c>
      <c r="G302" s="238"/>
      <c r="H302" s="304" t="s">
        <v>635</v>
      </c>
      <c r="I302" s="295" t="s">
        <v>359</v>
      </c>
      <c r="J302" s="293">
        <v>23</v>
      </c>
      <c r="K302" s="290">
        <v>298</v>
      </c>
      <c r="L302" s="146">
        <v>0.12</v>
      </c>
      <c r="M302" s="147">
        <f t="shared" si="64"/>
        <v>266.07</v>
      </c>
      <c r="N302" s="147">
        <f t="shared" si="61"/>
        <v>6119.61</v>
      </c>
      <c r="O302" s="148">
        <f t="shared" si="62"/>
        <v>1101.53</v>
      </c>
    </row>
    <row r="303" spans="1:15" ht="60">
      <c r="A303" s="241">
        <f t="shared" si="63"/>
        <v>13</v>
      </c>
      <c r="B303" s="292" t="s">
        <v>636</v>
      </c>
      <c r="C303" s="149"/>
      <c r="D303" s="149"/>
      <c r="E303" s="237"/>
      <c r="F303" s="248">
        <v>0.18</v>
      </c>
      <c r="G303" s="238"/>
      <c r="H303" s="304" t="s">
        <v>637</v>
      </c>
      <c r="I303" s="295" t="s">
        <v>359</v>
      </c>
      <c r="J303" s="293">
        <v>20</v>
      </c>
      <c r="K303" s="290">
        <v>327</v>
      </c>
      <c r="L303" s="146">
        <v>0.12</v>
      </c>
      <c r="M303" s="147">
        <f t="shared" si="64"/>
        <v>291.95999999999998</v>
      </c>
      <c r="N303" s="147">
        <f t="shared" si="61"/>
        <v>5839.2</v>
      </c>
      <c r="O303" s="148">
        <f t="shared" si="62"/>
        <v>1051.06</v>
      </c>
    </row>
    <row r="304" spans="1:15" ht="60">
      <c r="A304" s="241">
        <f t="shared" si="63"/>
        <v>14</v>
      </c>
      <c r="B304" s="292" t="s">
        <v>638</v>
      </c>
      <c r="C304" s="149"/>
      <c r="D304" s="149"/>
      <c r="E304" s="237"/>
      <c r="F304" s="248">
        <v>0.18</v>
      </c>
      <c r="G304" s="238"/>
      <c r="H304" s="304" t="s">
        <v>639</v>
      </c>
      <c r="I304" s="295" t="s">
        <v>359</v>
      </c>
      <c r="J304" s="293">
        <v>10</v>
      </c>
      <c r="K304" s="290">
        <v>343</v>
      </c>
      <c r="L304" s="146">
        <v>0.12</v>
      </c>
      <c r="M304" s="147">
        <f t="shared" si="64"/>
        <v>306.25</v>
      </c>
      <c r="N304" s="147">
        <f t="shared" si="61"/>
        <v>3062.5</v>
      </c>
      <c r="O304" s="148">
        <f t="shared" si="62"/>
        <v>551.25</v>
      </c>
    </row>
    <row r="305" spans="1:15" ht="60">
      <c r="A305" s="241">
        <f t="shared" si="63"/>
        <v>15</v>
      </c>
      <c r="B305" s="292" t="s">
        <v>640</v>
      </c>
      <c r="C305" s="149"/>
      <c r="D305" s="149"/>
      <c r="E305" s="237"/>
      <c r="F305" s="248">
        <v>0.18</v>
      </c>
      <c r="G305" s="238"/>
      <c r="H305" s="304" t="s">
        <v>641</v>
      </c>
      <c r="I305" s="295" t="s">
        <v>359</v>
      </c>
      <c r="J305" s="293">
        <v>3</v>
      </c>
      <c r="K305" s="290">
        <v>402</v>
      </c>
      <c r="L305" s="146">
        <v>0.12</v>
      </c>
      <c r="M305" s="147">
        <f t="shared" si="64"/>
        <v>358.93</v>
      </c>
      <c r="N305" s="147">
        <f t="shared" si="61"/>
        <v>1076.79</v>
      </c>
      <c r="O305" s="148">
        <f t="shared" si="62"/>
        <v>193.82</v>
      </c>
    </row>
    <row r="306" spans="1:15" ht="90">
      <c r="A306" s="241">
        <f t="shared" si="63"/>
        <v>16</v>
      </c>
      <c r="B306" s="292" t="s">
        <v>642</v>
      </c>
      <c r="C306" s="149"/>
      <c r="D306" s="149"/>
      <c r="E306" s="237"/>
      <c r="F306" s="248">
        <v>0.18</v>
      </c>
      <c r="G306" s="238"/>
      <c r="H306" s="304" t="s">
        <v>643</v>
      </c>
      <c r="I306" s="295" t="s">
        <v>359</v>
      </c>
      <c r="J306" s="293">
        <v>5</v>
      </c>
      <c r="K306" s="290">
        <v>2315</v>
      </c>
      <c r="L306" s="146">
        <v>0.12</v>
      </c>
      <c r="M306" s="147">
        <f t="shared" si="64"/>
        <v>2066.96</v>
      </c>
      <c r="N306" s="147">
        <f t="shared" si="61"/>
        <v>10334.799999999999</v>
      </c>
      <c r="O306" s="148">
        <f t="shared" si="62"/>
        <v>1860.26</v>
      </c>
    </row>
    <row r="307" spans="1:15" ht="90">
      <c r="A307" s="241">
        <f t="shared" si="63"/>
        <v>17</v>
      </c>
      <c r="B307" s="292" t="s">
        <v>644</v>
      </c>
      <c r="C307" s="149"/>
      <c r="D307" s="149"/>
      <c r="E307" s="237"/>
      <c r="F307" s="248">
        <v>0.18</v>
      </c>
      <c r="G307" s="238"/>
      <c r="H307" s="304" t="s">
        <v>645</v>
      </c>
      <c r="I307" s="295" t="s">
        <v>359</v>
      </c>
      <c r="J307" s="293">
        <v>1</v>
      </c>
      <c r="K307" s="290">
        <v>5967</v>
      </c>
      <c r="L307" s="146">
        <v>0.12</v>
      </c>
      <c r="M307" s="147">
        <f t="shared" si="64"/>
        <v>5327.68</v>
      </c>
      <c r="N307" s="147">
        <f t="shared" si="61"/>
        <v>5327.68</v>
      </c>
      <c r="O307" s="148">
        <f t="shared" si="62"/>
        <v>958.98</v>
      </c>
    </row>
    <row r="308" spans="1:15" ht="75">
      <c r="A308" s="241">
        <f t="shared" si="63"/>
        <v>18</v>
      </c>
      <c r="B308" s="292" t="s">
        <v>646</v>
      </c>
      <c r="C308" s="149"/>
      <c r="D308" s="149"/>
      <c r="E308" s="237"/>
      <c r="F308" s="248">
        <v>0.18</v>
      </c>
      <c r="G308" s="238"/>
      <c r="H308" s="304" t="s">
        <v>647</v>
      </c>
      <c r="I308" s="295" t="s">
        <v>359</v>
      </c>
      <c r="J308" s="293">
        <v>68</v>
      </c>
      <c r="K308" s="290">
        <v>256</v>
      </c>
      <c r="L308" s="146">
        <v>0.12</v>
      </c>
      <c r="M308" s="147">
        <f t="shared" si="64"/>
        <v>228.57</v>
      </c>
      <c r="N308" s="147">
        <f t="shared" si="61"/>
        <v>15542.76</v>
      </c>
      <c r="O308" s="148">
        <f t="shared" si="62"/>
        <v>2797.7</v>
      </c>
    </row>
    <row r="309" spans="1:15" ht="75">
      <c r="A309" s="241">
        <f t="shared" si="63"/>
        <v>19</v>
      </c>
      <c r="B309" s="292" t="s">
        <v>648</v>
      </c>
      <c r="C309" s="149"/>
      <c r="D309" s="149"/>
      <c r="E309" s="237"/>
      <c r="F309" s="248">
        <v>0.18</v>
      </c>
      <c r="G309" s="238"/>
      <c r="H309" s="304" t="s">
        <v>649</v>
      </c>
      <c r="I309" s="295" t="s">
        <v>359</v>
      </c>
      <c r="J309" s="293">
        <v>2</v>
      </c>
      <c r="K309" s="290">
        <v>656</v>
      </c>
      <c r="L309" s="146">
        <v>0.12</v>
      </c>
      <c r="M309" s="147">
        <f t="shared" ref="M309:M315" si="65">ROUND(K309/(1+L309),2)</f>
        <v>585.71</v>
      </c>
      <c r="N309" s="147">
        <f t="shared" ref="N309:N315" si="66">ROUND(M309*J309,2)</f>
        <v>1171.42</v>
      </c>
      <c r="O309" s="148">
        <f t="shared" ref="O309:O315" si="67">ROUND(N309*18%,2)</f>
        <v>210.86</v>
      </c>
    </row>
    <row r="310" spans="1:15" ht="60">
      <c r="A310" s="241">
        <f t="shared" si="63"/>
        <v>20</v>
      </c>
      <c r="B310" s="292" t="s">
        <v>650</v>
      </c>
      <c r="C310" s="149"/>
      <c r="D310" s="149"/>
      <c r="E310" s="237"/>
      <c r="F310" s="248">
        <v>0.18</v>
      </c>
      <c r="G310" s="238"/>
      <c r="H310" s="304" t="s">
        <v>651</v>
      </c>
      <c r="I310" s="295" t="s">
        <v>359</v>
      </c>
      <c r="J310" s="293">
        <v>3</v>
      </c>
      <c r="K310" s="290">
        <v>435</v>
      </c>
      <c r="L310" s="146">
        <v>0.12</v>
      </c>
      <c r="M310" s="147">
        <f t="shared" si="65"/>
        <v>388.39</v>
      </c>
      <c r="N310" s="147">
        <f t="shared" si="66"/>
        <v>1165.17</v>
      </c>
      <c r="O310" s="148">
        <f t="shared" si="67"/>
        <v>209.73</v>
      </c>
    </row>
    <row r="311" spans="1:15" ht="75">
      <c r="A311" s="241">
        <f t="shared" si="63"/>
        <v>21</v>
      </c>
      <c r="B311" s="292" t="s">
        <v>652</v>
      </c>
      <c r="C311" s="149"/>
      <c r="D311" s="149"/>
      <c r="E311" s="237"/>
      <c r="F311" s="248">
        <v>0.18</v>
      </c>
      <c r="G311" s="238"/>
      <c r="H311" s="304" t="s">
        <v>653</v>
      </c>
      <c r="I311" s="295" t="s">
        <v>359</v>
      </c>
      <c r="J311" s="293">
        <v>1</v>
      </c>
      <c r="K311" s="290">
        <v>2028</v>
      </c>
      <c r="L311" s="146">
        <v>0.12</v>
      </c>
      <c r="M311" s="147">
        <f t="shared" si="65"/>
        <v>1810.71</v>
      </c>
      <c r="N311" s="147">
        <f t="shared" si="66"/>
        <v>1810.71</v>
      </c>
      <c r="O311" s="148">
        <f t="shared" si="67"/>
        <v>325.93</v>
      </c>
    </row>
    <row r="312" spans="1:15" ht="75">
      <c r="A312" s="241">
        <f t="shared" si="63"/>
        <v>22</v>
      </c>
      <c r="B312" s="292" t="s">
        <v>654</v>
      </c>
      <c r="C312" s="149"/>
      <c r="D312" s="149"/>
      <c r="E312" s="237"/>
      <c r="F312" s="248">
        <v>0.18</v>
      </c>
      <c r="G312" s="238"/>
      <c r="H312" s="304" t="s">
        <v>655</v>
      </c>
      <c r="I312" s="295" t="s">
        <v>359</v>
      </c>
      <c r="J312" s="293">
        <v>4</v>
      </c>
      <c r="K312" s="290">
        <v>2642</v>
      </c>
      <c r="L312" s="146">
        <v>0.12</v>
      </c>
      <c r="M312" s="147">
        <f t="shared" si="65"/>
        <v>2358.9299999999998</v>
      </c>
      <c r="N312" s="147">
        <f t="shared" si="66"/>
        <v>9435.7199999999993</v>
      </c>
      <c r="O312" s="148">
        <f t="shared" si="67"/>
        <v>1698.43</v>
      </c>
    </row>
    <row r="313" spans="1:15" ht="75">
      <c r="A313" s="241">
        <f t="shared" si="63"/>
        <v>23</v>
      </c>
      <c r="B313" s="292" t="s">
        <v>656</v>
      </c>
      <c r="C313" s="149"/>
      <c r="D313" s="149"/>
      <c r="E313" s="237"/>
      <c r="F313" s="248">
        <v>0.18</v>
      </c>
      <c r="G313" s="238"/>
      <c r="H313" s="304" t="s">
        <v>657</v>
      </c>
      <c r="I313" s="295" t="s">
        <v>359</v>
      </c>
      <c r="J313" s="293">
        <v>3</v>
      </c>
      <c r="K313" s="290">
        <v>2722</v>
      </c>
      <c r="L313" s="146">
        <v>0.12</v>
      </c>
      <c r="M313" s="147">
        <f t="shared" si="65"/>
        <v>2430.36</v>
      </c>
      <c r="N313" s="147">
        <f t="shared" si="66"/>
        <v>7291.08</v>
      </c>
      <c r="O313" s="148">
        <f t="shared" si="67"/>
        <v>1312.39</v>
      </c>
    </row>
    <row r="314" spans="1:15" ht="60">
      <c r="A314" s="241">
        <f t="shared" si="63"/>
        <v>24</v>
      </c>
      <c r="B314" s="292" t="s">
        <v>658</v>
      </c>
      <c r="C314" s="149"/>
      <c r="D314" s="149"/>
      <c r="E314" s="237"/>
      <c r="F314" s="248">
        <v>0.18</v>
      </c>
      <c r="G314" s="238"/>
      <c r="H314" s="304" t="s">
        <v>659</v>
      </c>
      <c r="I314" s="295" t="s">
        <v>359</v>
      </c>
      <c r="J314" s="293">
        <v>3</v>
      </c>
      <c r="K314" s="290">
        <v>1034</v>
      </c>
      <c r="L314" s="146">
        <v>0.12</v>
      </c>
      <c r="M314" s="147">
        <f t="shared" si="65"/>
        <v>923.21</v>
      </c>
      <c r="N314" s="147">
        <f t="shared" si="66"/>
        <v>2769.63</v>
      </c>
      <c r="O314" s="148">
        <f t="shared" si="67"/>
        <v>498.53</v>
      </c>
    </row>
    <row r="315" spans="1:15" ht="60">
      <c r="A315" s="241">
        <f t="shared" si="63"/>
        <v>25</v>
      </c>
      <c r="B315" s="292" t="s">
        <v>660</v>
      </c>
      <c r="C315" s="149"/>
      <c r="D315" s="149"/>
      <c r="E315" s="237"/>
      <c r="F315" s="248">
        <v>0.18</v>
      </c>
      <c r="G315" s="238"/>
      <c r="H315" s="304" t="s">
        <v>661</v>
      </c>
      <c r="I315" s="295" t="s">
        <v>359</v>
      </c>
      <c r="J315" s="293">
        <v>2</v>
      </c>
      <c r="K315" s="290">
        <v>588</v>
      </c>
      <c r="L315" s="146">
        <v>0.12</v>
      </c>
      <c r="M315" s="147">
        <f t="shared" si="65"/>
        <v>525</v>
      </c>
      <c r="N315" s="147">
        <f t="shared" si="66"/>
        <v>1050</v>
      </c>
      <c r="O315" s="148">
        <f t="shared" si="67"/>
        <v>189</v>
      </c>
    </row>
    <row r="316" spans="1:15" ht="36">
      <c r="A316" s="257"/>
      <c r="B316" s="258"/>
      <c r="C316" s="259"/>
      <c r="D316" s="260"/>
      <c r="E316" s="261"/>
      <c r="F316" s="262"/>
      <c r="G316" s="263"/>
      <c r="H316" s="264" t="s">
        <v>662</v>
      </c>
      <c r="I316" s="299"/>
      <c r="J316" s="265"/>
      <c r="K316" s="266"/>
      <c r="L316" s="267"/>
      <c r="M316" s="266"/>
      <c r="N316" s="268">
        <f>+SUM(N291:N315)</f>
        <v>938136.15</v>
      </c>
      <c r="O316" s="268">
        <f>+SUM(O291:O315)</f>
        <v>168864.50000000003</v>
      </c>
    </row>
    <row r="317" spans="1:15" ht="36">
      <c r="A317" s="217"/>
      <c r="B317" s="211" t="s">
        <v>611</v>
      </c>
      <c r="C317" s="212"/>
      <c r="D317" s="213"/>
      <c r="E317" s="214"/>
      <c r="F317" s="215"/>
      <c r="G317" s="216"/>
      <c r="H317" s="242" t="s">
        <v>663</v>
      </c>
      <c r="I317" s="298"/>
      <c r="J317" s="218"/>
      <c r="K317" s="291"/>
      <c r="L317" s="220"/>
      <c r="M317" s="219"/>
      <c r="N317" s="219"/>
      <c r="O317" s="218"/>
    </row>
    <row r="318" spans="1:15" ht="94.5">
      <c r="A318" s="241">
        <v>1</v>
      </c>
      <c r="B318" s="342" t="s">
        <v>613</v>
      </c>
      <c r="C318" s="149"/>
      <c r="D318" s="149"/>
      <c r="E318" s="237"/>
      <c r="F318" s="248">
        <v>0.18</v>
      </c>
      <c r="G318" s="238"/>
      <c r="H318" s="344" t="s">
        <v>614</v>
      </c>
      <c r="I318" s="347" t="s">
        <v>615</v>
      </c>
      <c r="J318" s="303">
        <v>147</v>
      </c>
      <c r="K318" s="341">
        <v>1467</v>
      </c>
      <c r="L318" s="146">
        <v>0.12</v>
      </c>
      <c r="M318" s="147">
        <f t="shared" ref="M318" si="68">ROUND(K318/(1+L318),2)</f>
        <v>1309.82</v>
      </c>
      <c r="N318" s="147">
        <f t="shared" ref="N318" si="69">ROUND(M318*J318,2)</f>
        <v>192543.54</v>
      </c>
      <c r="O318" s="148">
        <f t="shared" ref="O318" si="70">ROUND(N318*18%,2)</f>
        <v>34657.839999999997</v>
      </c>
    </row>
    <row r="319" spans="1:15" ht="94.5">
      <c r="A319" s="241">
        <v>2</v>
      </c>
      <c r="B319" s="342" t="s">
        <v>616</v>
      </c>
      <c r="C319" s="149"/>
      <c r="D319" s="149"/>
      <c r="E319" s="237"/>
      <c r="F319" s="248">
        <v>0.18</v>
      </c>
      <c r="G319" s="238"/>
      <c r="H319" s="344" t="s">
        <v>617</v>
      </c>
      <c r="I319" s="347" t="s">
        <v>615</v>
      </c>
      <c r="J319" s="303">
        <v>90</v>
      </c>
      <c r="K319" s="341">
        <v>858</v>
      </c>
      <c r="L319" s="146">
        <v>0.12</v>
      </c>
      <c r="M319" s="147">
        <f t="shared" ref="M319:M345" si="71">ROUND(K319/(1+L319),2)</f>
        <v>766.07</v>
      </c>
      <c r="N319" s="147">
        <f t="shared" ref="N319:N345" si="72">ROUND(M319*J319,2)</f>
        <v>68946.3</v>
      </c>
      <c r="O319" s="148">
        <f t="shared" ref="O319:O345" si="73">ROUND(N319*18%,2)</f>
        <v>12410.33</v>
      </c>
    </row>
    <row r="320" spans="1:15" ht="78.75">
      <c r="A320" s="241">
        <v>3</v>
      </c>
      <c r="B320" s="342">
        <v>1.1100000000000001</v>
      </c>
      <c r="C320" s="149"/>
      <c r="D320" s="149"/>
      <c r="E320" s="237"/>
      <c r="F320" s="248">
        <v>0.18</v>
      </c>
      <c r="G320" s="238"/>
      <c r="H320" s="344" t="s">
        <v>618</v>
      </c>
      <c r="I320" s="347" t="s">
        <v>615</v>
      </c>
      <c r="J320" s="303">
        <v>9</v>
      </c>
      <c r="K320" s="341">
        <v>1562</v>
      </c>
      <c r="L320" s="146">
        <v>0.12</v>
      </c>
      <c r="M320" s="147">
        <f t="shared" si="71"/>
        <v>1394.64</v>
      </c>
      <c r="N320" s="147">
        <f t="shared" si="72"/>
        <v>12551.76</v>
      </c>
      <c r="O320" s="148">
        <f t="shared" si="73"/>
        <v>2259.3200000000002</v>
      </c>
    </row>
    <row r="321" spans="1:15" ht="63">
      <c r="A321" s="241">
        <v>4</v>
      </c>
      <c r="B321" s="343" t="s">
        <v>619</v>
      </c>
      <c r="C321" s="149"/>
      <c r="D321" s="149"/>
      <c r="E321" s="237"/>
      <c r="F321" s="248">
        <v>0.18</v>
      </c>
      <c r="G321" s="238"/>
      <c r="H321" s="345" t="s">
        <v>620</v>
      </c>
      <c r="I321" s="348" t="s">
        <v>284</v>
      </c>
      <c r="J321" s="303">
        <v>935</v>
      </c>
      <c r="K321" s="341">
        <v>275</v>
      </c>
      <c r="L321" s="146">
        <v>0.12</v>
      </c>
      <c r="M321" s="147">
        <f t="shared" si="71"/>
        <v>245.54</v>
      </c>
      <c r="N321" s="147">
        <f t="shared" si="72"/>
        <v>229579.9</v>
      </c>
      <c r="O321" s="148">
        <f t="shared" si="73"/>
        <v>41324.379999999997</v>
      </c>
    </row>
    <row r="322" spans="1:15" ht="63">
      <c r="A322" s="241">
        <v>5</v>
      </c>
      <c r="B322" s="342" t="s">
        <v>621</v>
      </c>
      <c r="C322" s="149"/>
      <c r="D322" s="149"/>
      <c r="E322" s="237"/>
      <c r="F322" s="248">
        <v>0.18</v>
      </c>
      <c r="G322" s="238"/>
      <c r="H322" s="345" t="s">
        <v>622</v>
      </c>
      <c r="I322" s="348" t="s">
        <v>284</v>
      </c>
      <c r="J322" s="303">
        <v>599</v>
      </c>
      <c r="K322" s="341">
        <v>334</v>
      </c>
      <c r="L322" s="146">
        <v>0.12</v>
      </c>
      <c r="M322" s="147">
        <f t="shared" si="71"/>
        <v>298.20999999999998</v>
      </c>
      <c r="N322" s="147">
        <f t="shared" si="72"/>
        <v>178627.79</v>
      </c>
      <c r="O322" s="148">
        <f t="shared" si="73"/>
        <v>32153</v>
      </c>
    </row>
    <row r="323" spans="1:15" ht="47.25">
      <c r="A323" s="241">
        <v>6</v>
      </c>
      <c r="B323" s="342" t="s">
        <v>664</v>
      </c>
      <c r="C323" s="149"/>
      <c r="D323" s="149"/>
      <c r="E323" s="237"/>
      <c r="F323" s="248">
        <v>0.18</v>
      </c>
      <c r="G323" s="238"/>
      <c r="H323" s="346" t="s">
        <v>665</v>
      </c>
      <c r="I323" s="348" t="s">
        <v>284</v>
      </c>
      <c r="J323" s="303">
        <v>431</v>
      </c>
      <c r="K323" s="341">
        <v>57</v>
      </c>
      <c r="L323" s="146">
        <v>0.12</v>
      </c>
      <c r="M323" s="147">
        <f t="shared" si="71"/>
        <v>50.89</v>
      </c>
      <c r="N323" s="147">
        <f t="shared" si="72"/>
        <v>21933.59</v>
      </c>
      <c r="O323" s="148">
        <f t="shared" si="73"/>
        <v>3948.05</v>
      </c>
    </row>
    <row r="324" spans="1:15" ht="63">
      <c r="A324" s="241">
        <v>7</v>
      </c>
      <c r="B324" s="342" t="s">
        <v>666</v>
      </c>
      <c r="C324" s="149"/>
      <c r="D324" s="149"/>
      <c r="E324" s="237"/>
      <c r="F324" s="248">
        <v>0.18</v>
      </c>
      <c r="G324" s="238"/>
      <c r="H324" s="346" t="s">
        <v>667</v>
      </c>
      <c r="I324" s="348" t="s">
        <v>284</v>
      </c>
      <c r="J324" s="303">
        <v>357</v>
      </c>
      <c r="K324" s="341">
        <v>38</v>
      </c>
      <c r="L324" s="146">
        <v>0.12</v>
      </c>
      <c r="M324" s="147">
        <f t="shared" si="71"/>
        <v>33.93</v>
      </c>
      <c r="N324" s="147">
        <f t="shared" si="72"/>
        <v>12113.01</v>
      </c>
      <c r="O324" s="148">
        <f t="shared" si="73"/>
        <v>2180.34</v>
      </c>
    </row>
    <row r="325" spans="1:15" ht="63">
      <c r="A325" s="241">
        <v>8</v>
      </c>
      <c r="B325" s="342">
        <v>1.19</v>
      </c>
      <c r="C325" s="149"/>
      <c r="D325" s="149"/>
      <c r="E325" s="237"/>
      <c r="F325" s="248">
        <v>0.18</v>
      </c>
      <c r="G325" s="238"/>
      <c r="H325" s="346" t="s">
        <v>668</v>
      </c>
      <c r="I325" s="348" t="s">
        <v>284</v>
      </c>
      <c r="J325" s="303">
        <v>63</v>
      </c>
      <c r="K325" s="341">
        <v>47</v>
      </c>
      <c r="L325" s="146">
        <v>0.12</v>
      </c>
      <c r="M325" s="147">
        <f t="shared" si="71"/>
        <v>41.96</v>
      </c>
      <c r="N325" s="147">
        <f t="shared" si="72"/>
        <v>2643.48</v>
      </c>
      <c r="O325" s="148">
        <f t="shared" si="73"/>
        <v>475.83</v>
      </c>
    </row>
    <row r="326" spans="1:15" ht="63">
      <c r="A326" s="241">
        <v>9</v>
      </c>
      <c r="B326" s="342" t="s">
        <v>669</v>
      </c>
      <c r="C326" s="149"/>
      <c r="D326" s="149"/>
      <c r="E326" s="237"/>
      <c r="F326" s="248">
        <v>0.18</v>
      </c>
      <c r="G326" s="238"/>
      <c r="H326" s="346" t="s">
        <v>670</v>
      </c>
      <c r="I326" s="348" t="s">
        <v>284</v>
      </c>
      <c r="J326" s="303">
        <v>641</v>
      </c>
      <c r="K326" s="341">
        <v>128</v>
      </c>
      <c r="L326" s="146">
        <v>0.12</v>
      </c>
      <c r="M326" s="147">
        <f t="shared" si="71"/>
        <v>114.29</v>
      </c>
      <c r="N326" s="147">
        <f t="shared" si="72"/>
        <v>73259.89</v>
      </c>
      <c r="O326" s="148">
        <f t="shared" si="73"/>
        <v>13186.78</v>
      </c>
    </row>
    <row r="327" spans="1:15" ht="63">
      <c r="A327" s="241">
        <v>10</v>
      </c>
      <c r="B327" s="342" t="s">
        <v>671</v>
      </c>
      <c r="C327" s="149"/>
      <c r="D327" s="149"/>
      <c r="E327" s="237"/>
      <c r="F327" s="248">
        <v>0.18</v>
      </c>
      <c r="G327" s="238"/>
      <c r="H327" s="346" t="s">
        <v>672</v>
      </c>
      <c r="I327" s="348" t="s">
        <v>284</v>
      </c>
      <c r="J327" s="303">
        <v>588</v>
      </c>
      <c r="K327" s="341">
        <v>145</v>
      </c>
      <c r="L327" s="146">
        <v>0.12</v>
      </c>
      <c r="M327" s="147">
        <f t="shared" si="71"/>
        <v>129.46</v>
      </c>
      <c r="N327" s="147">
        <f t="shared" si="72"/>
        <v>76122.48</v>
      </c>
      <c r="O327" s="148">
        <f t="shared" si="73"/>
        <v>13702.05</v>
      </c>
    </row>
    <row r="328" spans="1:15" ht="63">
      <c r="A328" s="241">
        <v>11</v>
      </c>
      <c r="B328" s="349" t="s">
        <v>625</v>
      </c>
      <c r="C328" s="149"/>
      <c r="D328" s="149"/>
      <c r="E328" s="237"/>
      <c r="F328" s="248">
        <v>0.18</v>
      </c>
      <c r="G328" s="238"/>
      <c r="H328" s="350" t="s">
        <v>626</v>
      </c>
      <c r="I328" s="347" t="s">
        <v>359</v>
      </c>
      <c r="J328" s="303">
        <v>71</v>
      </c>
      <c r="K328" s="341">
        <v>103</v>
      </c>
      <c r="L328" s="146">
        <v>0.12</v>
      </c>
      <c r="M328" s="147">
        <f t="shared" si="71"/>
        <v>91.96</v>
      </c>
      <c r="N328" s="147">
        <f t="shared" si="72"/>
        <v>6529.16</v>
      </c>
      <c r="O328" s="148">
        <f t="shared" si="73"/>
        <v>1175.25</v>
      </c>
    </row>
    <row r="329" spans="1:15" ht="63">
      <c r="A329" s="241">
        <v>12</v>
      </c>
      <c r="B329" s="349" t="s">
        <v>627</v>
      </c>
      <c r="C329" s="149"/>
      <c r="D329" s="149"/>
      <c r="E329" s="237"/>
      <c r="F329" s="248">
        <v>0.18</v>
      </c>
      <c r="G329" s="238"/>
      <c r="H329" s="350" t="s">
        <v>628</v>
      </c>
      <c r="I329" s="347" t="s">
        <v>359</v>
      </c>
      <c r="J329" s="303">
        <v>33</v>
      </c>
      <c r="K329" s="341">
        <v>156</v>
      </c>
      <c r="L329" s="146">
        <v>0.12</v>
      </c>
      <c r="M329" s="147">
        <f t="shared" si="71"/>
        <v>139.29</v>
      </c>
      <c r="N329" s="147">
        <f t="shared" si="72"/>
        <v>4596.57</v>
      </c>
      <c r="O329" s="148">
        <f t="shared" si="73"/>
        <v>827.38</v>
      </c>
    </row>
    <row r="330" spans="1:15" ht="63">
      <c r="A330" s="241">
        <v>13</v>
      </c>
      <c r="B330" s="349" t="s">
        <v>629</v>
      </c>
      <c r="C330" s="149"/>
      <c r="D330" s="149"/>
      <c r="E330" s="237"/>
      <c r="F330" s="248">
        <v>0.18</v>
      </c>
      <c r="G330" s="238"/>
      <c r="H330" s="350" t="s">
        <v>630</v>
      </c>
      <c r="I330" s="347" t="s">
        <v>359</v>
      </c>
      <c r="J330" s="303">
        <v>82</v>
      </c>
      <c r="K330" s="341">
        <v>122</v>
      </c>
      <c r="L330" s="146">
        <v>0.12</v>
      </c>
      <c r="M330" s="147">
        <f t="shared" si="71"/>
        <v>108.93</v>
      </c>
      <c r="N330" s="147">
        <f t="shared" si="72"/>
        <v>8932.26</v>
      </c>
      <c r="O330" s="148">
        <f t="shared" si="73"/>
        <v>1607.81</v>
      </c>
    </row>
    <row r="331" spans="1:15" ht="63">
      <c r="A331" s="241">
        <v>14</v>
      </c>
      <c r="B331" s="349" t="s">
        <v>631</v>
      </c>
      <c r="C331" s="149"/>
      <c r="D331" s="149"/>
      <c r="E331" s="237"/>
      <c r="F331" s="248">
        <v>0.18</v>
      </c>
      <c r="G331" s="238"/>
      <c r="H331" s="350" t="s">
        <v>632</v>
      </c>
      <c r="I331" s="347" t="s">
        <v>359</v>
      </c>
      <c r="J331" s="303">
        <v>33</v>
      </c>
      <c r="K331" s="341">
        <v>197</v>
      </c>
      <c r="L331" s="146">
        <v>0.12</v>
      </c>
      <c r="M331" s="147">
        <f t="shared" si="71"/>
        <v>175.89</v>
      </c>
      <c r="N331" s="147">
        <f t="shared" si="72"/>
        <v>5804.37</v>
      </c>
      <c r="O331" s="148">
        <f t="shared" si="73"/>
        <v>1044.79</v>
      </c>
    </row>
    <row r="332" spans="1:15" ht="63">
      <c r="A332" s="241">
        <v>15</v>
      </c>
      <c r="B332" s="349" t="s">
        <v>673</v>
      </c>
      <c r="C332" s="149"/>
      <c r="D332" s="149"/>
      <c r="E332" s="237"/>
      <c r="F332" s="248">
        <v>0.18</v>
      </c>
      <c r="G332" s="238"/>
      <c r="H332" s="350" t="s">
        <v>674</v>
      </c>
      <c r="I332" s="347" t="s">
        <v>359</v>
      </c>
      <c r="J332" s="303">
        <v>13</v>
      </c>
      <c r="K332" s="341">
        <v>148</v>
      </c>
      <c r="L332" s="146">
        <v>0.12</v>
      </c>
      <c r="M332" s="147">
        <f t="shared" si="71"/>
        <v>132.13999999999999</v>
      </c>
      <c r="N332" s="147">
        <f t="shared" si="72"/>
        <v>1717.82</v>
      </c>
      <c r="O332" s="148">
        <f t="shared" si="73"/>
        <v>309.20999999999998</v>
      </c>
    </row>
    <row r="333" spans="1:15" ht="63">
      <c r="A333" s="241">
        <v>16</v>
      </c>
      <c r="B333" s="349" t="s">
        <v>675</v>
      </c>
      <c r="C333" s="149"/>
      <c r="D333" s="149"/>
      <c r="E333" s="237"/>
      <c r="F333" s="248">
        <v>0.18</v>
      </c>
      <c r="G333" s="238"/>
      <c r="H333" s="350" t="s">
        <v>676</v>
      </c>
      <c r="I333" s="347" t="s">
        <v>359</v>
      </c>
      <c r="J333" s="303">
        <v>12</v>
      </c>
      <c r="K333" s="341">
        <v>148</v>
      </c>
      <c r="L333" s="146">
        <v>0.12</v>
      </c>
      <c r="M333" s="147">
        <f t="shared" si="71"/>
        <v>132.13999999999999</v>
      </c>
      <c r="N333" s="147">
        <f t="shared" si="72"/>
        <v>1585.68</v>
      </c>
      <c r="O333" s="148">
        <f t="shared" si="73"/>
        <v>285.42</v>
      </c>
    </row>
    <row r="334" spans="1:15" ht="63">
      <c r="A334" s="241">
        <v>17</v>
      </c>
      <c r="B334" s="349" t="s">
        <v>677</v>
      </c>
      <c r="C334" s="149"/>
      <c r="D334" s="149"/>
      <c r="E334" s="237"/>
      <c r="F334" s="248">
        <v>0.18</v>
      </c>
      <c r="G334" s="238"/>
      <c r="H334" s="350" t="s">
        <v>678</v>
      </c>
      <c r="I334" s="347" t="s">
        <v>359</v>
      </c>
      <c r="J334" s="303">
        <v>9</v>
      </c>
      <c r="K334" s="341">
        <v>140</v>
      </c>
      <c r="L334" s="146">
        <v>0.12</v>
      </c>
      <c r="M334" s="147">
        <f t="shared" si="71"/>
        <v>125</v>
      </c>
      <c r="N334" s="147">
        <f t="shared" si="72"/>
        <v>1125</v>
      </c>
      <c r="O334" s="148">
        <f t="shared" si="73"/>
        <v>202.5</v>
      </c>
    </row>
    <row r="335" spans="1:15" ht="47.25">
      <c r="A335" s="241">
        <v>18</v>
      </c>
      <c r="B335" s="351">
        <v>1.25</v>
      </c>
      <c r="C335" s="149"/>
      <c r="D335" s="149"/>
      <c r="E335" s="237"/>
      <c r="F335" s="248">
        <v>0.18</v>
      </c>
      <c r="G335" s="238"/>
      <c r="H335" s="344" t="s">
        <v>633</v>
      </c>
      <c r="I335" s="347" t="s">
        <v>359</v>
      </c>
      <c r="J335" s="303">
        <v>16</v>
      </c>
      <c r="K335" s="341">
        <v>369</v>
      </c>
      <c r="L335" s="146">
        <v>0.12</v>
      </c>
      <c r="M335" s="147">
        <f t="shared" si="71"/>
        <v>329.46</v>
      </c>
      <c r="N335" s="147">
        <f t="shared" si="72"/>
        <v>5271.36</v>
      </c>
      <c r="O335" s="148">
        <f t="shared" si="73"/>
        <v>948.84</v>
      </c>
    </row>
    <row r="336" spans="1:15" ht="63">
      <c r="A336" s="241">
        <v>19</v>
      </c>
      <c r="B336" s="342" t="s">
        <v>634</v>
      </c>
      <c r="C336" s="149"/>
      <c r="D336" s="149"/>
      <c r="E336" s="237"/>
      <c r="F336" s="248">
        <v>0.18</v>
      </c>
      <c r="G336" s="238"/>
      <c r="H336" s="345" t="s">
        <v>635</v>
      </c>
      <c r="I336" s="347" t="s">
        <v>359</v>
      </c>
      <c r="J336" s="303">
        <v>17</v>
      </c>
      <c r="K336" s="341">
        <v>298</v>
      </c>
      <c r="L336" s="146">
        <v>0.12</v>
      </c>
      <c r="M336" s="147">
        <f t="shared" si="71"/>
        <v>266.07</v>
      </c>
      <c r="N336" s="147">
        <f t="shared" si="72"/>
        <v>4523.1899999999996</v>
      </c>
      <c r="O336" s="148">
        <f t="shared" si="73"/>
        <v>814.17</v>
      </c>
    </row>
    <row r="337" spans="1:16" ht="63">
      <c r="A337" s="241">
        <v>20</v>
      </c>
      <c r="B337" s="342" t="s">
        <v>636</v>
      </c>
      <c r="C337" s="149"/>
      <c r="D337" s="149"/>
      <c r="E337" s="237"/>
      <c r="F337" s="248">
        <v>0.18</v>
      </c>
      <c r="G337" s="238"/>
      <c r="H337" s="345" t="s">
        <v>637</v>
      </c>
      <c r="I337" s="347" t="s">
        <v>359</v>
      </c>
      <c r="J337" s="303">
        <v>8</v>
      </c>
      <c r="K337" s="341">
        <v>327</v>
      </c>
      <c r="L337" s="146">
        <v>0.12</v>
      </c>
      <c r="M337" s="147">
        <f t="shared" si="71"/>
        <v>291.95999999999998</v>
      </c>
      <c r="N337" s="147">
        <f t="shared" si="72"/>
        <v>2335.6799999999998</v>
      </c>
      <c r="O337" s="148">
        <f t="shared" si="73"/>
        <v>420.42</v>
      </c>
    </row>
    <row r="338" spans="1:16" ht="63">
      <c r="A338" s="241">
        <v>21</v>
      </c>
      <c r="B338" s="342" t="s">
        <v>638</v>
      </c>
      <c r="C338" s="149"/>
      <c r="D338" s="149"/>
      <c r="E338" s="237"/>
      <c r="F338" s="248">
        <v>0.18</v>
      </c>
      <c r="G338" s="238"/>
      <c r="H338" s="345" t="s">
        <v>639</v>
      </c>
      <c r="I338" s="347" t="s">
        <v>359</v>
      </c>
      <c r="J338" s="303">
        <v>5</v>
      </c>
      <c r="K338" s="341">
        <v>343</v>
      </c>
      <c r="L338" s="146">
        <v>0.12</v>
      </c>
      <c r="M338" s="147">
        <f t="shared" si="71"/>
        <v>306.25</v>
      </c>
      <c r="N338" s="147">
        <f t="shared" si="72"/>
        <v>1531.25</v>
      </c>
      <c r="O338" s="148">
        <f t="shared" si="73"/>
        <v>275.63</v>
      </c>
    </row>
    <row r="339" spans="1:16" ht="63">
      <c r="A339" s="241">
        <v>22</v>
      </c>
      <c r="B339" s="342" t="s">
        <v>640</v>
      </c>
      <c r="C339" s="149"/>
      <c r="D339" s="149"/>
      <c r="E339" s="237"/>
      <c r="F339" s="248">
        <v>0.18</v>
      </c>
      <c r="G339" s="238"/>
      <c r="H339" s="345" t="s">
        <v>641</v>
      </c>
      <c r="I339" s="347" t="s">
        <v>359</v>
      </c>
      <c r="J339" s="303">
        <v>21</v>
      </c>
      <c r="K339" s="341">
        <v>402</v>
      </c>
      <c r="L339" s="146">
        <v>0.12</v>
      </c>
      <c r="M339" s="147">
        <f t="shared" si="71"/>
        <v>358.93</v>
      </c>
      <c r="N339" s="147">
        <f t="shared" si="72"/>
        <v>7537.53</v>
      </c>
      <c r="O339" s="148">
        <f t="shared" si="73"/>
        <v>1356.76</v>
      </c>
    </row>
    <row r="340" spans="1:16" ht="63">
      <c r="A340" s="241">
        <v>23</v>
      </c>
      <c r="B340" s="352" t="s">
        <v>623</v>
      </c>
      <c r="C340" s="149"/>
      <c r="D340" s="149"/>
      <c r="E340" s="237"/>
      <c r="F340" s="248">
        <v>0.18</v>
      </c>
      <c r="G340" s="238"/>
      <c r="H340" s="345" t="s">
        <v>624</v>
      </c>
      <c r="I340" s="348" t="s">
        <v>284</v>
      </c>
      <c r="J340" s="303">
        <v>486</v>
      </c>
      <c r="K340" s="341">
        <v>439</v>
      </c>
      <c r="L340" s="146">
        <v>0.12</v>
      </c>
      <c r="M340" s="147">
        <f t="shared" si="71"/>
        <v>391.96</v>
      </c>
      <c r="N340" s="147">
        <f t="shared" si="72"/>
        <v>190492.56</v>
      </c>
      <c r="O340" s="148">
        <f t="shared" si="73"/>
        <v>34288.660000000003</v>
      </c>
    </row>
    <row r="341" spans="1:16" ht="110.25">
      <c r="A341" s="241">
        <v>24</v>
      </c>
      <c r="B341" s="352" t="s">
        <v>679</v>
      </c>
      <c r="C341" s="149"/>
      <c r="D341" s="149"/>
      <c r="E341" s="237"/>
      <c r="F341" s="248">
        <v>0.18</v>
      </c>
      <c r="G341" s="238"/>
      <c r="H341" s="353" t="s">
        <v>680</v>
      </c>
      <c r="I341" s="348" t="s">
        <v>359</v>
      </c>
      <c r="J341" s="303">
        <v>1</v>
      </c>
      <c r="K341" s="341">
        <v>12833</v>
      </c>
      <c r="L341" s="146">
        <v>0.12</v>
      </c>
      <c r="M341" s="147">
        <f t="shared" si="71"/>
        <v>11458.04</v>
      </c>
      <c r="N341" s="147">
        <f t="shared" si="72"/>
        <v>11458.04</v>
      </c>
      <c r="O341" s="148">
        <f t="shared" si="73"/>
        <v>2062.4499999999998</v>
      </c>
    </row>
    <row r="342" spans="1:16" ht="78.75">
      <c r="A342" s="241">
        <v>25</v>
      </c>
      <c r="B342" s="352" t="s">
        <v>646</v>
      </c>
      <c r="C342" s="149"/>
      <c r="D342" s="149"/>
      <c r="E342" s="237"/>
      <c r="F342" s="248">
        <v>0.18</v>
      </c>
      <c r="G342" s="238"/>
      <c r="H342" s="353" t="s">
        <v>647</v>
      </c>
      <c r="I342" s="348" t="s">
        <v>359</v>
      </c>
      <c r="J342" s="303">
        <v>36</v>
      </c>
      <c r="K342" s="341">
        <v>256</v>
      </c>
      <c r="L342" s="146">
        <v>0.12</v>
      </c>
      <c r="M342" s="147">
        <f t="shared" si="71"/>
        <v>228.57</v>
      </c>
      <c r="N342" s="147">
        <f t="shared" si="72"/>
        <v>8228.52</v>
      </c>
      <c r="O342" s="148">
        <f t="shared" si="73"/>
        <v>1481.13</v>
      </c>
    </row>
    <row r="343" spans="1:16" ht="78.75">
      <c r="A343" s="241">
        <v>26</v>
      </c>
      <c r="B343" s="352" t="s">
        <v>648</v>
      </c>
      <c r="C343" s="149"/>
      <c r="D343" s="149"/>
      <c r="E343" s="237"/>
      <c r="F343" s="248">
        <v>0.18</v>
      </c>
      <c r="G343" s="238"/>
      <c r="H343" s="353" t="s">
        <v>649</v>
      </c>
      <c r="I343" s="348" t="s">
        <v>359</v>
      </c>
      <c r="J343" s="303">
        <v>8</v>
      </c>
      <c r="K343" s="341">
        <v>656</v>
      </c>
      <c r="L343" s="146">
        <v>0.12</v>
      </c>
      <c r="M343" s="147">
        <f t="shared" si="71"/>
        <v>585.71</v>
      </c>
      <c r="N343" s="147">
        <f t="shared" si="72"/>
        <v>4685.68</v>
      </c>
      <c r="O343" s="148">
        <f t="shared" si="73"/>
        <v>843.42</v>
      </c>
    </row>
    <row r="344" spans="1:16" ht="63">
      <c r="A344" s="241">
        <v>27</v>
      </c>
      <c r="B344" s="352" t="s">
        <v>681</v>
      </c>
      <c r="C344" s="149"/>
      <c r="D344" s="149"/>
      <c r="E344" s="237"/>
      <c r="F344" s="248">
        <v>0.18</v>
      </c>
      <c r="G344" s="238"/>
      <c r="H344" s="353" t="s">
        <v>682</v>
      </c>
      <c r="I344" s="348" t="s">
        <v>359</v>
      </c>
      <c r="J344" s="303">
        <v>1</v>
      </c>
      <c r="K344" s="341">
        <v>8209</v>
      </c>
      <c r="L344" s="146">
        <v>0.12</v>
      </c>
      <c r="M344" s="147">
        <f t="shared" si="71"/>
        <v>7329.46</v>
      </c>
      <c r="N344" s="147">
        <f t="shared" si="72"/>
        <v>7329.46</v>
      </c>
      <c r="O344" s="148">
        <f t="shared" si="73"/>
        <v>1319.3</v>
      </c>
    </row>
    <row r="345" spans="1:16" ht="63">
      <c r="A345" s="241">
        <v>28</v>
      </c>
      <c r="B345" s="349" t="s">
        <v>683</v>
      </c>
      <c r="C345" s="149"/>
      <c r="D345" s="149"/>
      <c r="E345" s="237"/>
      <c r="F345" s="248">
        <v>0.18</v>
      </c>
      <c r="G345" s="238"/>
      <c r="H345" s="345" t="s">
        <v>684</v>
      </c>
      <c r="I345" s="347" t="s">
        <v>359</v>
      </c>
      <c r="J345" s="303">
        <v>2</v>
      </c>
      <c r="K345" s="341">
        <v>468</v>
      </c>
      <c r="L345" s="146">
        <v>0.12</v>
      </c>
      <c r="M345" s="147">
        <f t="shared" si="71"/>
        <v>417.86</v>
      </c>
      <c r="N345" s="147">
        <f t="shared" si="72"/>
        <v>835.72</v>
      </c>
      <c r="O345" s="148">
        <f t="shared" si="73"/>
        <v>150.43</v>
      </c>
    </row>
    <row r="346" spans="1:16" ht="36">
      <c r="A346" s="257"/>
      <c r="B346" s="258"/>
      <c r="C346" s="259"/>
      <c r="D346" s="260"/>
      <c r="E346" s="261"/>
      <c r="F346" s="262"/>
      <c r="G346" s="263"/>
      <c r="H346" s="264" t="s">
        <v>685</v>
      </c>
      <c r="I346" s="299"/>
      <c r="J346" s="265"/>
      <c r="K346" s="266"/>
      <c r="L346" s="267"/>
      <c r="M346" s="266"/>
      <c r="N346" s="268">
        <f>+SUM(N318:N345)</f>
        <v>1142841.5899999999</v>
      </c>
      <c r="O346" s="268">
        <f>+SUM(O318:O345)</f>
        <v>205711.49000000005</v>
      </c>
    </row>
    <row r="347" spans="1:16" ht="18.75">
      <c r="A347" s="257"/>
      <c r="B347" s="258"/>
      <c r="C347" s="259"/>
      <c r="D347" s="260"/>
      <c r="E347" s="261"/>
      <c r="F347" s="262"/>
      <c r="G347" s="263"/>
      <c r="H347" s="264"/>
      <c r="I347" s="299"/>
      <c r="J347" s="265"/>
      <c r="K347" s="266"/>
      <c r="L347" s="267"/>
      <c r="M347" s="266"/>
      <c r="N347" s="268"/>
      <c r="O347" s="268"/>
    </row>
    <row r="348" spans="1:16" ht="16.5">
      <c r="A348" s="416" t="s">
        <v>686</v>
      </c>
      <c r="B348" s="416"/>
      <c r="C348" s="416"/>
      <c r="D348" s="416"/>
      <c r="E348" s="416"/>
      <c r="F348" s="416"/>
      <c r="G348" s="416"/>
      <c r="H348" s="416"/>
      <c r="I348" s="416"/>
      <c r="J348" s="416"/>
      <c r="K348" s="416"/>
      <c r="L348" s="416"/>
      <c r="M348" s="416"/>
      <c r="N348" s="150">
        <f>+N316+N137+N287+N346</f>
        <v>35818426.400000006</v>
      </c>
      <c r="O348" s="150">
        <f>+O316+O137+O287+O346</f>
        <v>6447316.7600000007</v>
      </c>
      <c r="P348" s="156"/>
    </row>
    <row r="349" spans="1:16" ht="26.25">
      <c r="A349" s="417" t="s">
        <v>687</v>
      </c>
      <c r="B349" s="417"/>
      <c r="C349" s="417"/>
      <c r="D349" s="417"/>
      <c r="E349" s="417"/>
      <c r="F349" s="417"/>
      <c r="G349" s="417"/>
      <c r="H349" s="417"/>
      <c r="I349" s="417"/>
      <c r="J349" s="417"/>
      <c r="K349" s="417"/>
      <c r="L349" s="417"/>
      <c r="M349" s="417"/>
      <c r="N349" s="240"/>
      <c r="O349" s="221">
        <f>N349</f>
        <v>0</v>
      </c>
    </row>
    <row r="350" spans="1:16" ht="18.75">
      <c r="A350" s="418" t="s">
        <v>688</v>
      </c>
      <c r="B350" s="418"/>
      <c r="C350" s="418"/>
      <c r="D350" s="418"/>
      <c r="E350" s="418"/>
      <c r="F350" s="418"/>
      <c r="G350" s="418"/>
      <c r="H350" s="418"/>
      <c r="I350" s="418"/>
      <c r="J350" s="418"/>
      <c r="K350" s="418"/>
      <c r="L350" s="418"/>
      <c r="M350" s="418"/>
      <c r="N350" s="153" t="str">
        <f>IF(N349="", "",$N$348*$N$349)</f>
        <v/>
      </c>
      <c r="O350" s="150" t="str">
        <f>IF(N349="","",ROUND(N350*18%,2))</f>
        <v/>
      </c>
    </row>
    <row r="351" spans="1:16" ht="18.75">
      <c r="A351" s="419" t="s">
        <v>689</v>
      </c>
      <c r="B351" s="419"/>
      <c r="C351" s="419"/>
      <c r="D351" s="419"/>
      <c r="E351" s="419"/>
      <c r="F351" s="419"/>
      <c r="G351" s="419"/>
      <c r="H351" s="419"/>
      <c r="I351" s="419"/>
      <c r="J351" s="419"/>
      <c r="K351" s="419"/>
      <c r="L351" s="419"/>
      <c r="M351" s="419"/>
      <c r="N351" s="222" t="str">
        <f>IF(N349="", "",$N$348*(1+$N$349))</f>
        <v/>
      </c>
      <c r="O351" s="223"/>
    </row>
    <row r="352" spans="1:16" ht="18.75">
      <c r="A352" s="420" t="s">
        <v>690</v>
      </c>
      <c r="B352" s="420"/>
      <c r="C352" s="420"/>
      <c r="D352" s="420"/>
      <c r="E352" s="420"/>
      <c r="F352" s="420"/>
      <c r="G352" s="420"/>
      <c r="H352" s="420"/>
      <c r="I352" s="420"/>
      <c r="J352" s="420"/>
      <c r="K352" s="420"/>
      <c r="L352" s="420"/>
      <c r="M352" s="420"/>
      <c r="N352" s="151"/>
      <c r="O352" s="153" t="str">
        <f>IF(N350="", "",($O$348+O350))</f>
        <v/>
      </c>
    </row>
    <row r="353" spans="1:15" ht="23.25">
      <c r="A353" s="412" t="str">
        <f>IF(N349="","As the %variation w.r.t total DSR Amount cell left Blank the bid is considered as Non-responsive","Sheet OK")</f>
        <v>As the %variation w.r.t total DSR Amount cell left Blank the bid is considered as Non-responsive</v>
      </c>
      <c r="B353" s="412"/>
      <c r="C353" s="412"/>
      <c r="D353" s="412"/>
      <c r="E353" s="412"/>
      <c r="F353" s="412"/>
      <c r="G353" s="412"/>
      <c r="H353" s="412"/>
      <c r="I353" s="412"/>
      <c r="J353" s="412"/>
      <c r="K353" s="412"/>
      <c r="L353" s="412"/>
      <c r="M353" s="412"/>
      <c r="N353" s="412"/>
      <c r="O353" s="413"/>
    </row>
    <row r="354" spans="1:15">
      <c r="A354" s="139"/>
      <c r="C354" s="136"/>
      <c r="D354" s="155"/>
      <c r="E354" s="136"/>
      <c r="F354" s="136"/>
      <c r="G354" s="155"/>
      <c r="H354" s="155"/>
      <c r="J354" s="155"/>
      <c r="K354" s="155"/>
      <c r="M354" s="155"/>
    </row>
    <row r="355" spans="1:15">
      <c r="A355" s="139"/>
      <c r="C355" s="136"/>
      <c r="D355" s="155"/>
      <c r="E355" s="136"/>
      <c r="F355" s="136"/>
      <c r="G355" s="155"/>
      <c r="H355" s="155"/>
      <c r="J355" s="155"/>
      <c r="K355" s="155"/>
      <c r="M355" s="155"/>
    </row>
    <row r="356" spans="1:15">
      <c r="A356" s="139"/>
      <c r="C356" s="136"/>
      <c r="D356" s="155"/>
      <c r="E356" s="136"/>
      <c r="F356" s="136"/>
      <c r="G356" s="155"/>
      <c r="H356" s="155"/>
      <c r="J356" s="155"/>
      <c r="K356" s="155"/>
      <c r="M356" s="155"/>
      <c r="N356" s="156"/>
    </row>
    <row r="357" spans="1:15">
      <c r="A357" s="139"/>
      <c r="C357" s="136"/>
      <c r="D357" s="155"/>
      <c r="E357" s="136"/>
      <c r="F357" s="136"/>
      <c r="G357" s="155"/>
      <c r="H357" s="155"/>
      <c r="J357" s="155"/>
      <c r="K357" s="155"/>
      <c r="M357" s="155"/>
    </row>
    <row r="358" spans="1:15">
      <c r="A358" s="139"/>
      <c r="C358" s="136"/>
      <c r="D358" s="155"/>
      <c r="E358" s="136"/>
      <c r="F358" s="136"/>
      <c r="G358" s="155"/>
      <c r="H358" s="155"/>
      <c r="J358" s="155"/>
      <c r="K358" s="155"/>
      <c r="M358" s="155"/>
    </row>
    <row r="359" spans="1:15">
      <c r="A359" s="139"/>
      <c r="C359" s="136"/>
      <c r="D359" s="155"/>
      <c r="E359" s="136"/>
      <c r="F359" s="136"/>
      <c r="G359" s="155"/>
      <c r="H359" s="155"/>
      <c r="J359" s="155"/>
      <c r="K359" s="155"/>
      <c r="M359" s="155"/>
    </row>
    <row r="360" spans="1:15">
      <c r="A360" s="139"/>
      <c r="C360" s="136"/>
      <c r="D360" s="155"/>
      <c r="E360" s="136"/>
      <c r="F360" s="136"/>
      <c r="G360" s="155"/>
      <c r="H360" s="155"/>
      <c r="J360" s="155"/>
      <c r="K360" s="155"/>
      <c r="M360" s="155"/>
    </row>
    <row r="361" spans="1:15">
      <c r="A361" s="139"/>
      <c r="C361" s="136"/>
      <c r="D361" s="155"/>
      <c r="E361" s="136"/>
      <c r="F361" s="136"/>
      <c r="G361" s="155"/>
      <c r="H361" s="155"/>
      <c r="J361" s="155"/>
      <c r="K361" s="155"/>
      <c r="M361" s="155"/>
    </row>
    <row r="362" spans="1:15">
      <c r="A362" s="139"/>
      <c r="C362" s="136"/>
      <c r="D362" s="155"/>
      <c r="E362" s="136"/>
      <c r="F362" s="136"/>
      <c r="G362" s="155"/>
      <c r="H362" s="155"/>
      <c r="J362" s="155"/>
      <c r="K362" s="155"/>
      <c r="M362" s="155"/>
    </row>
    <row r="363" spans="1:15">
      <c r="A363" s="139"/>
      <c r="C363" s="136"/>
      <c r="D363" s="155"/>
      <c r="E363" s="136"/>
      <c r="F363" s="136"/>
      <c r="G363" s="155"/>
      <c r="H363" s="155"/>
      <c r="J363" s="155"/>
      <c r="K363" s="155"/>
      <c r="M363" s="155"/>
    </row>
    <row r="364" spans="1:15">
      <c r="A364" s="139"/>
      <c r="C364" s="136"/>
      <c r="D364" s="155"/>
      <c r="E364" s="136"/>
      <c r="F364" s="136"/>
      <c r="G364" s="155"/>
      <c r="H364" s="155"/>
      <c r="J364" s="155"/>
      <c r="K364" s="155"/>
      <c r="M364" s="155"/>
    </row>
    <row r="365" spans="1:15">
      <c r="A365" s="139"/>
      <c r="C365" s="136"/>
      <c r="D365" s="155"/>
      <c r="E365" s="136"/>
      <c r="F365" s="136"/>
      <c r="G365" s="155"/>
      <c r="H365" s="155"/>
      <c r="J365" s="155"/>
      <c r="K365" s="155"/>
      <c r="M365" s="155"/>
    </row>
    <row r="366" spans="1:15">
      <c r="A366" s="139"/>
      <c r="C366" s="136"/>
      <c r="D366" s="155"/>
      <c r="E366" s="136"/>
      <c r="F366" s="136"/>
      <c r="G366" s="155"/>
      <c r="H366" s="155"/>
      <c r="J366" s="155"/>
      <c r="K366" s="155"/>
      <c r="M366" s="155"/>
    </row>
    <row r="367" spans="1:15">
      <c r="A367" s="139"/>
      <c r="C367" s="136"/>
      <c r="D367" s="155"/>
      <c r="E367" s="136"/>
      <c r="F367" s="136"/>
      <c r="G367" s="155"/>
      <c r="H367" s="155"/>
      <c r="J367" s="155"/>
      <c r="K367" s="155"/>
      <c r="M367" s="155"/>
    </row>
    <row r="368" spans="1:15">
      <c r="A368" s="139"/>
      <c r="C368" s="136"/>
      <c r="D368" s="155"/>
      <c r="E368" s="136"/>
      <c r="F368" s="136"/>
      <c r="G368" s="155"/>
      <c r="H368" s="155"/>
      <c r="J368" s="155"/>
      <c r="K368" s="155"/>
      <c r="M368" s="155"/>
    </row>
    <row r="369" spans="1:13">
      <c r="A369" s="139"/>
      <c r="C369" s="136"/>
      <c r="D369" s="155"/>
      <c r="E369" s="136"/>
      <c r="F369" s="136"/>
      <c r="G369" s="155"/>
      <c r="H369" s="155"/>
      <c r="J369" s="155"/>
      <c r="K369" s="155"/>
      <c r="M369" s="155"/>
    </row>
    <row r="370" spans="1:13">
      <c r="A370" s="139"/>
      <c r="C370" s="136"/>
      <c r="D370" s="155"/>
      <c r="E370" s="136"/>
      <c r="F370" s="136"/>
      <c r="G370" s="155"/>
      <c r="H370" s="155"/>
      <c r="J370" s="155"/>
      <c r="K370" s="155"/>
      <c r="M370" s="155"/>
    </row>
    <row r="371" spans="1:13">
      <c r="A371" s="139"/>
      <c r="C371" s="136"/>
      <c r="D371" s="155"/>
      <c r="E371" s="136"/>
      <c r="F371" s="136"/>
      <c r="G371" s="155"/>
      <c r="H371" s="155"/>
      <c r="J371" s="155"/>
      <c r="K371" s="155"/>
      <c r="M371" s="155"/>
    </row>
    <row r="372" spans="1:13">
      <c r="A372" s="139"/>
      <c r="C372" s="136"/>
      <c r="D372" s="155"/>
      <c r="E372" s="136"/>
      <c r="F372" s="136"/>
      <c r="G372" s="155"/>
      <c r="H372" s="155"/>
      <c r="J372" s="155"/>
      <c r="K372" s="155"/>
      <c r="M372" s="155"/>
    </row>
    <row r="373" spans="1:13">
      <c r="A373" s="139"/>
      <c r="C373" s="136"/>
      <c r="D373" s="155"/>
      <c r="E373" s="136"/>
      <c r="F373" s="136"/>
      <c r="G373" s="155"/>
      <c r="H373" s="155"/>
      <c r="J373" s="155"/>
      <c r="K373" s="155"/>
      <c r="M373" s="155"/>
    </row>
    <row r="374" spans="1:13">
      <c r="A374" s="139"/>
      <c r="C374" s="136"/>
      <c r="D374" s="155"/>
      <c r="E374" s="136"/>
      <c r="F374" s="136"/>
      <c r="G374" s="155"/>
      <c r="H374" s="155"/>
      <c r="J374" s="155"/>
      <c r="K374" s="155"/>
      <c r="M374" s="155"/>
    </row>
    <row r="375" spans="1:13">
      <c r="A375" s="139"/>
      <c r="C375" s="136"/>
      <c r="D375" s="155"/>
      <c r="E375" s="136"/>
      <c r="F375" s="136"/>
      <c r="G375" s="155"/>
      <c r="H375" s="155"/>
      <c r="J375" s="155"/>
      <c r="K375" s="155"/>
      <c r="M375" s="155"/>
    </row>
    <row r="376" spans="1:13">
      <c r="A376" s="139"/>
      <c r="C376" s="136"/>
      <c r="D376" s="155"/>
      <c r="E376" s="136"/>
      <c r="F376" s="136"/>
      <c r="G376" s="155"/>
      <c r="H376" s="155"/>
      <c r="J376" s="155"/>
      <c r="K376" s="155"/>
      <c r="M376" s="155"/>
    </row>
    <row r="377" spans="1:13">
      <c r="A377" s="139"/>
      <c r="C377" s="136"/>
      <c r="D377" s="155"/>
      <c r="E377" s="136"/>
      <c r="F377" s="136"/>
      <c r="G377" s="155"/>
      <c r="H377" s="155"/>
      <c r="J377" s="155"/>
      <c r="K377" s="155"/>
      <c r="M377" s="155"/>
    </row>
    <row r="378" spans="1:13">
      <c r="A378" s="139"/>
      <c r="C378" s="136"/>
      <c r="D378" s="155"/>
      <c r="E378" s="136"/>
      <c r="F378" s="136"/>
      <c r="G378" s="155"/>
      <c r="H378" s="155"/>
      <c r="J378" s="155"/>
      <c r="K378" s="155"/>
      <c r="M378" s="155"/>
    </row>
    <row r="379" spans="1:13">
      <c r="A379" s="139"/>
      <c r="C379" s="136"/>
      <c r="D379" s="155"/>
      <c r="E379" s="136"/>
      <c r="F379" s="136"/>
      <c r="G379" s="155"/>
      <c r="H379" s="155"/>
      <c r="J379" s="155"/>
      <c r="K379" s="155"/>
      <c r="M379" s="155"/>
    </row>
    <row r="380" spans="1:13">
      <c r="A380" s="139"/>
      <c r="C380" s="136"/>
      <c r="D380" s="155"/>
      <c r="E380" s="136"/>
      <c r="F380" s="136"/>
      <c r="G380" s="155"/>
      <c r="H380" s="155"/>
      <c r="J380" s="155"/>
      <c r="K380" s="155"/>
      <c r="M380" s="155"/>
    </row>
    <row r="381" spans="1:13">
      <c r="A381" s="139"/>
      <c r="C381" s="136"/>
      <c r="D381" s="155"/>
      <c r="E381" s="136"/>
      <c r="F381" s="136"/>
      <c r="G381" s="155"/>
      <c r="H381" s="155"/>
      <c r="J381" s="155"/>
      <c r="K381" s="155"/>
      <c r="M381" s="155"/>
    </row>
    <row r="382" spans="1:13">
      <c r="A382" s="139"/>
      <c r="C382" s="136"/>
      <c r="D382" s="155"/>
      <c r="E382" s="136"/>
      <c r="F382" s="136"/>
      <c r="G382" s="155"/>
      <c r="H382" s="155"/>
      <c r="J382" s="155"/>
      <c r="K382" s="155"/>
      <c r="M382" s="155"/>
    </row>
    <row r="383" spans="1:13">
      <c r="A383" s="139"/>
      <c r="C383" s="136"/>
      <c r="D383" s="155"/>
      <c r="E383" s="136"/>
      <c r="F383" s="136"/>
      <c r="G383" s="155"/>
      <c r="H383" s="155"/>
      <c r="J383" s="155"/>
      <c r="K383" s="155"/>
      <c r="M383" s="155"/>
    </row>
    <row r="384" spans="1:13">
      <c r="A384" s="139"/>
      <c r="C384" s="136"/>
      <c r="D384" s="155"/>
      <c r="E384" s="136"/>
      <c r="F384" s="136"/>
      <c r="G384" s="155"/>
      <c r="H384" s="155"/>
      <c r="J384" s="155"/>
      <c r="K384" s="155"/>
      <c r="M384" s="155"/>
    </row>
    <row r="385" spans="1:13">
      <c r="A385" s="139"/>
      <c r="C385" s="136"/>
      <c r="D385" s="155"/>
      <c r="E385" s="136"/>
      <c r="F385" s="136"/>
      <c r="G385" s="155"/>
      <c r="H385" s="155"/>
      <c r="J385" s="155"/>
      <c r="K385" s="155"/>
      <c r="M385" s="155"/>
    </row>
    <row r="386" spans="1:13">
      <c r="A386" s="139"/>
      <c r="C386" s="136"/>
      <c r="D386" s="155"/>
      <c r="E386" s="136"/>
      <c r="F386" s="136"/>
      <c r="G386" s="155"/>
      <c r="H386" s="155"/>
      <c r="J386" s="155"/>
      <c r="K386" s="155"/>
      <c r="M386" s="155"/>
    </row>
  </sheetData>
  <sheetProtection algorithmName="SHA-512" hashValue="tXmLw0p9nEYO8IBucm7qkVDTqGYFFGeTNVZlqOpMxsLHA5R7yzosmTDnbaCdNX9ouNP32P2uOldo6lOs1oopvA==" saltValue="SmV761pNLhuJ4apLt1jqYQ==" spinCount="100000" sheet="1" objects="1" scenarios="1" formatColumns="0" formatRows="0"/>
  <customSheetViews>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1"/>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2"/>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3"/>
    </customSheetView>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4"/>
    </customSheetView>
  </customSheetViews>
  <mergeCells count="17">
    <mergeCell ref="A1:O1"/>
    <mergeCell ref="A2:O2"/>
    <mergeCell ref="N8:O8"/>
    <mergeCell ref="C7:J7"/>
    <mergeCell ref="C4:J4"/>
    <mergeCell ref="K5:M5"/>
    <mergeCell ref="C5:J5"/>
    <mergeCell ref="C3:J3"/>
    <mergeCell ref="A353:O353"/>
    <mergeCell ref="K3:M3"/>
    <mergeCell ref="C6:J6"/>
    <mergeCell ref="K4:M4"/>
    <mergeCell ref="A348:M348"/>
    <mergeCell ref="A349:M349"/>
    <mergeCell ref="A350:M350"/>
    <mergeCell ref="A351:M351"/>
    <mergeCell ref="A352:M352"/>
  </mergeCells>
  <phoneticPr fontId="63" type="noConversion"/>
  <conditionalFormatting sqref="A353">
    <cfRule type="containsText" dxfId="9" priority="2" stopIfTrue="1" operator="containsText" text="sheet">
      <formula>NOT(ISERROR(SEARCH("sheet",A353)))</formula>
    </cfRule>
    <cfRule type="containsText" dxfId="8" priority="3" stopIfTrue="1" operator="containsText" text="responsive">
      <formula>NOT(ISERROR(SEARCH("responsive",A353)))</formula>
    </cfRule>
  </conditionalFormatting>
  <conditionalFormatting sqref="N350:N351">
    <cfRule type="containsText" dxfId="7" priority="4" stopIfTrue="1" operator="containsText" text="percentage">
      <formula>NOT(ISERROR(SEARCH("percentage",N350)))</formula>
    </cfRule>
  </conditionalFormatting>
  <conditionalFormatting sqref="O352">
    <cfRule type="containsText" dxfId="6" priority="1" stopIfTrue="1" operator="containsText" text="percentage">
      <formula>NOT(ISERROR(SEARCH("percentage",O352)))</formula>
    </cfRule>
  </conditionalFormatting>
  <dataValidations count="1">
    <dataValidation type="decimal" allowBlank="1" showInputMessage="1" showErrorMessage="1" prompt="Please Enter Percentage" sqref="N349" xr:uid="{00000000-0002-0000-0400-000000000000}">
      <formula1>-100</formula1>
      <formula2>100</formula2>
    </dataValidation>
  </dataValidations>
  <pageMargins left="0.45" right="0.45" top="0.75" bottom="0.75" header="0.3" footer="0.3"/>
  <pageSetup paperSize="9" scale="50" fitToHeight="0" orientation="landscape" r:id="rId5"/>
  <rowBreaks count="4" manualBreakCount="4">
    <brk id="27" max="14" man="1"/>
    <brk id="107" max="14" man="1"/>
    <brk id="132" max="14" man="1"/>
    <brk id="298"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143"/>
  <sheetViews>
    <sheetView view="pageBreakPreview" zoomScale="78" zoomScaleNormal="80" zoomScaleSheetLayoutView="78" workbookViewId="0">
      <pane ySplit="9" topLeftCell="A134" activePane="bottomLeft" state="frozen"/>
      <selection pane="bottomLeft" activeCell="J86" sqref="J86"/>
    </sheetView>
  </sheetViews>
  <sheetFormatPr defaultRowHeight="13.5"/>
  <cols>
    <col min="1" max="1" width="5.85546875" style="158" customWidth="1"/>
    <col min="2" max="2" width="11.28515625" style="158" bestFit="1" customWidth="1"/>
    <col min="3" max="3" width="12.7109375" style="158" customWidth="1"/>
    <col min="4" max="4" width="16.5703125" style="158" customWidth="1"/>
    <col min="5" max="5" width="10.85546875" style="158" customWidth="1"/>
    <col min="6" max="6" width="19.5703125" style="158" customWidth="1"/>
    <col min="7" max="7" width="87.28515625" style="316" customWidth="1"/>
    <col min="8" max="8" width="7.7109375" style="158" customWidth="1"/>
    <col min="9" max="9" width="15" style="158" customWidth="1"/>
    <col min="10" max="10" width="21.42578125" style="158" customWidth="1"/>
    <col min="11" max="11" width="28.42578125" style="158" customWidth="1"/>
    <col min="12" max="12" width="24.85546875" style="158" customWidth="1"/>
    <col min="13" max="13" width="32.28515625" style="158" customWidth="1"/>
    <col min="14" max="15" width="32.28515625" style="158" hidden="1" customWidth="1"/>
    <col min="16" max="17" width="32.28515625" style="158" customWidth="1"/>
    <col min="18" max="31" width="9.140625" style="158" customWidth="1"/>
    <col min="32" max="16384" width="9.140625" style="158"/>
  </cols>
  <sheetData>
    <row r="1" spans="1:16" s="157" customFormat="1" ht="39" customHeight="1">
      <c r="A1" s="421" t="str">
        <f>'Name of Bidder'!A1:C1</f>
        <v>Package-B for Construction of Field Hostel and Community Center at 765/400kV Kurnool-III PS under Transmission System for evacuation of power from RE sources in Kurnool Wind Energy Zone (3000MW)/ Solar Energy Zone (1500MW) Part-A and Part-B</v>
      </c>
      <c r="B1" s="421"/>
      <c r="C1" s="421"/>
      <c r="D1" s="421"/>
      <c r="E1" s="421"/>
      <c r="F1" s="421"/>
      <c r="G1" s="421"/>
      <c r="H1" s="421"/>
      <c r="I1" s="421"/>
      <c r="J1" s="421"/>
      <c r="K1" s="421"/>
      <c r="L1" s="421"/>
      <c r="M1" s="202"/>
      <c r="N1" s="207"/>
      <c r="O1" s="207"/>
      <c r="P1" s="207"/>
    </row>
    <row r="2" spans="1:16" s="157" customFormat="1" ht="16.5" customHeight="1">
      <c r="A2" s="421" t="s">
        <v>691</v>
      </c>
      <c r="B2" s="421"/>
      <c r="C2" s="421"/>
      <c r="D2" s="421"/>
      <c r="E2" s="421"/>
      <c r="F2" s="421"/>
      <c r="G2" s="421"/>
      <c r="H2" s="421"/>
      <c r="I2" s="421"/>
      <c r="J2" s="421"/>
      <c r="K2" s="421"/>
      <c r="L2" s="421"/>
      <c r="M2" s="202"/>
      <c r="N2" s="207"/>
      <c r="O2" s="207"/>
      <c r="P2" s="207"/>
    </row>
    <row r="3" spans="1:16" ht="15.75">
      <c r="A3" s="132" t="s">
        <v>692</v>
      </c>
      <c r="B3" s="132"/>
      <c r="C3" s="132"/>
      <c r="D3" s="415">
        <f>'Name of Bidder'!C9</f>
        <v>0</v>
      </c>
      <c r="E3" s="415"/>
      <c r="F3" s="415"/>
      <c r="G3" s="415"/>
      <c r="H3" s="415"/>
      <c r="I3" s="415"/>
      <c r="J3" s="414" t="s">
        <v>243</v>
      </c>
      <c r="K3" s="414"/>
      <c r="L3" s="414"/>
      <c r="M3" s="132"/>
      <c r="N3" s="208"/>
      <c r="O3" s="208"/>
      <c r="P3" s="208"/>
    </row>
    <row r="4" spans="1:16" ht="15.75">
      <c r="A4" s="415" t="s">
        <v>16</v>
      </c>
      <c r="B4" s="415"/>
      <c r="C4" s="415"/>
      <c r="D4" s="415">
        <f>'Name of Bidder'!C10</f>
        <v>0</v>
      </c>
      <c r="E4" s="415"/>
      <c r="F4" s="415"/>
      <c r="G4" s="415"/>
      <c r="H4" s="415"/>
      <c r="I4" s="415"/>
      <c r="J4" s="414" t="s">
        <v>245</v>
      </c>
      <c r="K4" s="414"/>
      <c r="L4" s="414"/>
      <c r="M4" s="132"/>
      <c r="N4" s="208"/>
      <c r="O4" s="208"/>
      <c r="P4" s="208"/>
    </row>
    <row r="5" spans="1:16" ht="15.75">
      <c r="A5" s="132"/>
      <c r="B5" s="132"/>
      <c r="C5" s="132"/>
      <c r="D5" s="415">
        <f>'Name of Bidder'!C11</f>
        <v>0</v>
      </c>
      <c r="E5" s="415"/>
      <c r="F5" s="415"/>
      <c r="G5" s="415"/>
      <c r="H5" s="415"/>
      <c r="I5" s="415"/>
      <c r="J5" s="414" t="s">
        <v>246</v>
      </c>
      <c r="K5" s="414"/>
      <c r="L5" s="414"/>
      <c r="M5" s="132"/>
      <c r="N5" s="208"/>
      <c r="O5" s="208"/>
      <c r="P5" s="208"/>
    </row>
    <row r="6" spans="1:16" ht="15.75">
      <c r="A6" s="132"/>
      <c r="B6" s="132"/>
      <c r="C6" s="132"/>
      <c r="D6" s="415">
        <f>'Name of Bidder'!C12</f>
        <v>0</v>
      </c>
      <c r="E6" s="415"/>
      <c r="F6" s="415"/>
      <c r="G6" s="415"/>
      <c r="H6" s="415"/>
      <c r="I6" s="415"/>
      <c r="J6" s="132" t="s">
        <v>247</v>
      </c>
      <c r="K6" s="132"/>
      <c r="L6" s="132"/>
      <c r="M6" s="132"/>
      <c r="N6" s="208"/>
      <c r="O6" s="208"/>
      <c r="P6" s="208"/>
    </row>
    <row r="7" spans="1:16" ht="15.75">
      <c r="A7" s="132"/>
      <c r="B7" s="132"/>
      <c r="C7" s="132"/>
      <c r="D7" s="132"/>
      <c r="E7" s="415"/>
      <c r="F7" s="415"/>
      <c r="G7" s="415"/>
      <c r="H7" s="415"/>
      <c r="I7" s="415"/>
      <c r="J7" s="132" t="s">
        <v>248</v>
      </c>
      <c r="K7" s="132"/>
      <c r="L7" s="132"/>
      <c r="M7" s="132"/>
      <c r="N7" s="208"/>
      <c r="O7" s="208"/>
      <c r="P7" s="208"/>
    </row>
    <row r="8" spans="1:16" ht="99">
      <c r="A8" s="127" t="s">
        <v>250</v>
      </c>
      <c r="B8" s="127" t="s">
        <v>252</v>
      </c>
      <c r="C8" s="127" t="s">
        <v>693</v>
      </c>
      <c r="D8" s="128" t="s">
        <v>694</v>
      </c>
      <c r="E8" s="128" t="s">
        <v>255</v>
      </c>
      <c r="F8" s="236" t="s">
        <v>256</v>
      </c>
      <c r="G8" s="312" t="s">
        <v>695</v>
      </c>
      <c r="H8" s="127" t="s">
        <v>258</v>
      </c>
      <c r="I8" s="127" t="s">
        <v>259</v>
      </c>
      <c r="J8" s="127" t="s">
        <v>696</v>
      </c>
      <c r="K8" s="127" t="s">
        <v>697</v>
      </c>
      <c r="L8" s="127" t="s">
        <v>264</v>
      </c>
      <c r="M8" s="127" t="s">
        <v>698</v>
      </c>
      <c r="N8" s="208"/>
      <c r="O8" s="208"/>
      <c r="P8" s="209">
        <f>COUNTIF(J11:J32,"")+COUNTIF(J34:J47,"")+COUNTIF(J50:J81,"")+COUNTIF(J85:J106,"")+COUNTIF(J109:J138,"")</f>
        <v>120</v>
      </c>
    </row>
    <row r="9" spans="1:16" ht="16.5">
      <c r="A9" s="141">
        <v>1</v>
      </c>
      <c r="B9" s="141"/>
      <c r="C9" s="141">
        <v>2</v>
      </c>
      <c r="D9" s="141">
        <v>3</v>
      </c>
      <c r="E9" s="128">
        <v>4</v>
      </c>
      <c r="F9" s="128">
        <v>5</v>
      </c>
      <c r="G9" s="330">
        <v>6</v>
      </c>
      <c r="H9" s="204">
        <v>7</v>
      </c>
      <c r="I9" s="204">
        <v>8</v>
      </c>
      <c r="J9" s="204">
        <v>9</v>
      </c>
      <c r="K9" s="204" t="s">
        <v>699</v>
      </c>
      <c r="L9" s="204" t="s">
        <v>700</v>
      </c>
      <c r="M9" s="204"/>
      <c r="N9" s="208"/>
      <c r="O9" s="208"/>
      <c r="P9" s="209">
        <f>COUNTIF(I11:I138,"&gt;0")</f>
        <v>120</v>
      </c>
    </row>
    <row r="10" spans="1:16" ht="30.75" customHeight="1">
      <c r="A10" s="224" t="s">
        <v>701</v>
      </c>
      <c r="B10" s="225"/>
      <c r="C10" s="226"/>
      <c r="D10" s="226"/>
      <c r="E10" s="227"/>
      <c r="F10" s="228"/>
      <c r="G10" s="313" t="s">
        <v>702</v>
      </c>
      <c r="H10" s="229"/>
      <c r="I10" s="230"/>
      <c r="J10" s="231"/>
      <c r="K10" s="232"/>
      <c r="L10" s="232"/>
      <c r="M10" s="232"/>
      <c r="N10" s="208"/>
      <c r="O10" s="208"/>
      <c r="P10" s="209"/>
    </row>
    <row r="11" spans="1:16" ht="135">
      <c r="A11" s="149">
        <v>1</v>
      </c>
      <c r="B11" s="307" t="s">
        <v>703</v>
      </c>
      <c r="C11" s="203" t="s">
        <v>704</v>
      </c>
      <c r="D11" s="244"/>
      <c r="E11" s="210">
        <v>0.18</v>
      </c>
      <c r="F11" s="239"/>
      <c r="G11" s="314" t="s">
        <v>705</v>
      </c>
      <c r="H11" s="293" t="s">
        <v>306</v>
      </c>
      <c r="I11" s="308">
        <v>919</v>
      </c>
      <c r="J11" s="243"/>
      <c r="K11" s="247">
        <f>ROUND(J11*I11,2)</f>
        <v>0</v>
      </c>
      <c r="L11" s="205">
        <f>ROUND(K11*E11,2)</f>
        <v>0</v>
      </c>
      <c r="M11" s="206" t="str">
        <f>IF($P$9&lt;&gt;$P$8,IF(OR(J11="",J11=0),"Included in other item",""),"")</f>
        <v/>
      </c>
      <c r="N11" s="208" t="b">
        <f>ISBLANK(J11)</f>
        <v>1</v>
      </c>
      <c r="O11" s="208" t="b">
        <f>AND(N11=FALSE,J11=0)</f>
        <v>0</v>
      </c>
      <c r="P11" s="209"/>
    </row>
    <row r="12" spans="1:16" ht="63">
      <c r="A12" s="149">
        <v>2</v>
      </c>
      <c r="B12" s="307" t="s">
        <v>706</v>
      </c>
      <c r="C12" s="323" t="s">
        <v>707</v>
      </c>
      <c r="D12" s="245"/>
      <c r="E12" s="210">
        <v>0.18</v>
      </c>
      <c r="F12" s="246"/>
      <c r="G12" s="324" t="s">
        <v>708</v>
      </c>
      <c r="H12" s="325" t="s">
        <v>359</v>
      </c>
      <c r="I12" s="308">
        <v>24</v>
      </c>
      <c r="J12" s="243"/>
      <c r="K12" s="247">
        <f t="shared" ref="K12:K47" si="0">ROUND(J12*I12,2)</f>
        <v>0</v>
      </c>
      <c r="L12" s="205">
        <f t="shared" ref="L12:L47" si="1">ROUND(K12*E12,2)</f>
        <v>0</v>
      </c>
      <c r="M12" s="206" t="str">
        <f t="shared" ref="M12:M75" si="2">IF($P$9&lt;&gt;$P$8,IF(OR(J12="",J12=0),"Included in other item",""),"")</f>
        <v/>
      </c>
      <c r="N12" s="208"/>
      <c r="O12" s="208"/>
      <c r="P12" s="209"/>
    </row>
    <row r="13" spans="1:16" ht="63">
      <c r="A13" s="149">
        <v>3</v>
      </c>
      <c r="B13" s="307" t="s">
        <v>709</v>
      </c>
      <c r="C13" s="323" t="s">
        <v>710</v>
      </c>
      <c r="D13" s="245"/>
      <c r="E13" s="210">
        <v>0.18</v>
      </c>
      <c r="F13" s="246"/>
      <c r="G13" s="324" t="s">
        <v>711</v>
      </c>
      <c r="H13" s="325" t="s">
        <v>359</v>
      </c>
      <c r="I13" s="308">
        <v>20</v>
      </c>
      <c r="J13" s="243"/>
      <c r="K13" s="247">
        <f t="shared" si="0"/>
        <v>0</v>
      </c>
      <c r="L13" s="205">
        <f t="shared" si="1"/>
        <v>0</v>
      </c>
      <c r="M13" s="206" t="str">
        <f t="shared" si="2"/>
        <v/>
      </c>
      <c r="N13" s="208"/>
      <c r="O13" s="208"/>
      <c r="P13" s="209"/>
    </row>
    <row r="14" spans="1:16" ht="63">
      <c r="A14" s="149">
        <v>4</v>
      </c>
      <c r="B14" s="307" t="s">
        <v>712</v>
      </c>
      <c r="C14" s="323" t="s">
        <v>713</v>
      </c>
      <c r="D14" s="245"/>
      <c r="E14" s="210">
        <v>0.18</v>
      </c>
      <c r="F14" s="246"/>
      <c r="G14" s="324" t="s">
        <v>714</v>
      </c>
      <c r="H14" s="325" t="s">
        <v>359</v>
      </c>
      <c r="I14" s="308">
        <v>4</v>
      </c>
      <c r="J14" s="243"/>
      <c r="K14" s="247">
        <f t="shared" si="0"/>
        <v>0</v>
      </c>
      <c r="L14" s="205">
        <f t="shared" si="1"/>
        <v>0</v>
      </c>
      <c r="M14" s="206" t="str">
        <f t="shared" si="2"/>
        <v/>
      </c>
      <c r="N14" s="208"/>
      <c r="O14" s="208"/>
      <c r="P14" s="209"/>
    </row>
    <row r="15" spans="1:16" ht="237.75" customHeight="1">
      <c r="A15" s="149">
        <v>5</v>
      </c>
      <c r="B15" s="307" t="s">
        <v>715</v>
      </c>
      <c r="C15" s="323" t="s">
        <v>716</v>
      </c>
      <c r="D15" s="245"/>
      <c r="E15" s="210">
        <v>0.18</v>
      </c>
      <c r="F15" s="246"/>
      <c r="G15" s="324" t="s">
        <v>717</v>
      </c>
      <c r="H15" s="325" t="s">
        <v>306</v>
      </c>
      <c r="I15" s="327">
        <v>267</v>
      </c>
      <c r="J15" s="243"/>
      <c r="K15" s="247">
        <f t="shared" si="0"/>
        <v>0</v>
      </c>
      <c r="L15" s="205">
        <f t="shared" si="1"/>
        <v>0</v>
      </c>
      <c r="M15" s="206" t="str">
        <f t="shared" si="2"/>
        <v/>
      </c>
      <c r="N15" s="208"/>
      <c r="O15" s="208"/>
      <c r="P15" s="209"/>
    </row>
    <row r="16" spans="1:16" ht="162.75" customHeight="1">
      <c r="A16" s="149">
        <v>6</v>
      </c>
      <c r="B16" s="307" t="s">
        <v>718</v>
      </c>
      <c r="C16" s="323" t="s">
        <v>719</v>
      </c>
      <c r="D16" s="245"/>
      <c r="E16" s="210">
        <v>0.18</v>
      </c>
      <c r="F16" s="246"/>
      <c r="G16" s="324" t="s">
        <v>720</v>
      </c>
      <c r="H16" s="325" t="s">
        <v>306</v>
      </c>
      <c r="I16" s="327">
        <v>151</v>
      </c>
      <c r="J16" s="243"/>
      <c r="K16" s="247">
        <f t="shared" si="0"/>
        <v>0</v>
      </c>
      <c r="L16" s="205">
        <f t="shared" si="1"/>
        <v>0</v>
      </c>
      <c r="M16" s="206" t="str">
        <f t="shared" si="2"/>
        <v/>
      </c>
      <c r="N16" s="208"/>
      <c r="O16" s="208"/>
      <c r="P16" s="209"/>
    </row>
    <row r="17" spans="1:16" ht="300" customHeight="1">
      <c r="A17" s="149">
        <v>7</v>
      </c>
      <c r="B17" s="307" t="s">
        <v>721</v>
      </c>
      <c r="C17" s="323" t="s">
        <v>722</v>
      </c>
      <c r="D17" s="245"/>
      <c r="E17" s="210">
        <v>0.18</v>
      </c>
      <c r="F17" s="246"/>
      <c r="G17" s="324" t="s">
        <v>723</v>
      </c>
      <c r="H17" s="325" t="s">
        <v>306</v>
      </c>
      <c r="I17" s="327">
        <v>25</v>
      </c>
      <c r="J17" s="243"/>
      <c r="K17" s="247">
        <f t="shared" si="0"/>
        <v>0</v>
      </c>
      <c r="L17" s="205">
        <f t="shared" si="1"/>
        <v>0</v>
      </c>
      <c r="M17" s="206" t="str">
        <f t="shared" si="2"/>
        <v/>
      </c>
      <c r="N17" s="208"/>
      <c r="O17" s="208"/>
      <c r="P17" s="209"/>
    </row>
    <row r="18" spans="1:16" ht="105">
      <c r="A18" s="149">
        <v>8</v>
      </c>
      <c r="B18" s="307" t="s">
        <v>724</v>
      </c>
      <c r="C18" s="323" t="s">
        <v>725</v>
      </c>
      <c r="D18" s="245"/>
      <c r="E18" s="210">
        <v>0.18</v>
      </c>
      <c r="F18" s="246"/>
      <c r="G18" s="328" t="s">
        <v>726</v>
      </c>
      <c r="H18" s="325" t="s">
        <v>306</v>
      </c>
      <c r="I18" s="327">
        <v>33</v>
      </c>
      <c r="J18" s="243"/>
      <c r="K18" s="247">
        <f t="shared" si="0"/>
        <v>0</v>
      </c>
      <c r="L18" s="205">
        <f t="shared" si="1"/>
        <v>0</v>
      </c>
      <c r="M18" s="206" t="str">
        <f t="shared" si="2"/>
        <v/>
      </c>
      <c r="N18" s="208"/>
      <c r="O18" s="208"/>
      <c r="P18" s="209"/>
    </row>
    <row r="19" spans="1:16" ht="78.75">
      <c r="A19" s="149">
        <v>9</v>
      </c>
      <c r="B19" s="307" t="s">
        <v>727</v>
      </c>
      <c r="C19" s="323" t="s">
        <v>728</v>
      </c>
      <c r="D19" s="245"/>
      <c r="E19" s="210">
        <v>0.18</v>
      </c>
      <c r="F19" s="246"/>
      <c r="G19" s="324" t="s">
        <v>729</v>
      </c>
      <c r="H19" s="325" t="s">
        <v>730</v>
      </c>
      <c r="I19" s="327">
        <v>536</v>
      </c>
      <c r="J19" s="243"/>
      <c r="K19" s="247">
        <f t="shared" si="0"/>
        <v>0</v>
      </c>
      <c r="L19" s="205">
        <f t="shared" si="1"/>
        <v>0</v>
      </c>
      <c r="M19" s="206" t="str">
        <f t="shared" si="2"/>
        <v/>
      </c>
      <c r="N19" s="208"/>
      <c r="O19" s="208"/>
      <c r="P19" s="209"/>
    </row>
    <row r="20" spans="1:16" ht="31.5">
      <c r="A20" s="149">
        <v>10</v>
      </c>
      <c r="B20" s="307" t="s">
        <v>731</v>
      </c>
      <c r="C20" s="323" t="s">
        <v>732</v>
      </c>
      <c r="D20" s="245"/>
      <c r="E20" s="210">
        <v>0.18</v>
      </c>
      <c r="F20" s="246"/>
      <c r="G20" s="324" t="s">
        <v>733</v>
      </c>
      <c r="H20" s="325" t="s">
        <v>272</v>
      </c>
      <c r="I20" s="327">
        <v>103</v>
      </c>
      <c r="J20" s="243"/>
      <c r="K20" s="247">
        <f t="shared" si="0"/>
        <v>0</v>
      </c>
      <c r="L20" s="205">
        <f t="shared" si="1"/>
        <v>0</v>
      </c>
      <c r="M20" s="206" t="str">
        <f t="shared" si="2"/>
        <v/>
      </c>
      <c r="N20" s="208"/>
      <c r="O20" s="208"/>
      <c r="P20" s="209"/>
    </row>
    <row r="21" spans="1:16" ht="63">
      <c r="A21" s="149">
        <v>11</v>
      </c>
      <c r="B21" s="307" t="s">
        <v>734</v>
      </c>
      <c r="C21" s="323" t="s">
        <v>735</v>
      </c>
      <c r="D21" s="245"/>
      <c r="E21" s="210">
        <v>0.18</v>
      </c>
      <c r="F21" s="246"/>
      <c r="G21" s="324" t="s">
        <v>736</v>
      </c>
      <c r="H21" s="325" t="s">
        <v>272</v>
      </c>
      <c r="I21" s="327">
        <v>87</v>
      </c>
      <c r="J21" s="243"/>
      <c r="K21" s="247">
        <f t="shared" si="0"/>
        <v>0</v>
      </c>
      <c r="L21" s="205">
        <f t="shared" si="1"/>
        <v>0</v>
      </c>
      <c r="M21" s="206" t="str">
        <f t="shared" si="2"/>
        <v/>
      </c>
      <c r="N21" s="208"/>
      <c r="O21" s="208"/>
      <c r="P21" s="209"/>
    </row>
    <row r="22" spans="1:16" ht="78.75">
      <c r="A22" s="149">
        <v>12</v>
      </c>
      <c r="B22" s="307" t="s">
        <v>737</v>
      </c>
      <c r="C22" s="323" t="s">
        <v>738</v>
      </c>
      <c r="D22" s="245"/>
      <c r="E22" s="210">
        <v>0.18</v>
      </c>
      <c r="F22" s="246"/>
      <c r="G22" s="324" t="s">
        <v>739</v>
      </c>
      <c r="H22" s="325" t="s">
        <v>272</v>
      </c>
      <c r="I22" s="327">
        <v>354</v>
      </c>
      <c r="J22" s="243"/>
      <c r="K22" s="247">
        <f t="shared" si="0"/>
        <v>0</v>
      </c>
      <c r="L22" s="205">
        <f t="shared" si="1"/>
        <v>0</v>
      </c>
      <c r="M22" s="206" t="str">
        <f t="shared" si="2"/>
        <v/>
      </c>
      <c r="N22" s="208"/>
      <c r="O22" s="208"/>
      <c r="P22" s="209"/>
    </row>
    <row r="23" spans="1:16" ht="78.75">
      <c r="A23" s="149">
        <v>13</v>
      </c>
      <c r="B23" s="307" t="s">
        <v>740</v>
      </c>
      <c r="C23" s="323" t="s">
        <v>741</v>
      </c>
      <c r="D23" s="245"/>
      <c r="E23" s="210">
        <v>0.18</v>
      </c>
      <c r="F23" s="246"/>
      <c r="G23" s="324" t="s">
        <v>742</v>
      </c>
      <c r="H23" s="325" t="s">
        <v>306</v>
      </c>
      <c r="I23" s="327">
        <v>86</v>
      </c>
      <c r="J23" s="243"/>
      <c r="K23" s="247">
        <f t="shared" si="0"/>
        <v>0</v>
      </c>
      <c r="L23" s="205">
        <f t="shared" si="1"/>
        <v>0</v>
      </c>
      <c r="M23" s="206" t="str">
        <f t="shared" si="2"/>
        <v/>
      </c>
      <c r="N23" s="208"/>
      <c r="O23" s="208"/>
      <c r="P23" s="209"/>
    </row>
    <row r="24" spans="1:16" ht="47.25">
      <c r="A24" s="149">
        <v>14</v>
      </c>
      <c r="B24" s="307" t="s">
        <v>743</v>
      </c>
      <c r="C24" s="323" t="s">
        <v>744</v>
      </c>
      <c r="D24" s="245"/>
      <c r="E24" s="210">
        <v>0.18</v>
      </c>
      <c r="F24" s="246"/>
      <c r="G24" s="324" t="s">
        <v>745</v>
      </c>
      <c r="H24" s="325" t="s">
        <v>306</v>
      </c>
      <c r="I24" s="327">
        <v>201</v>
      </c>
      <c r="J24" s="243"/>
      <c r="K24" s="247">
        <f t="shared" si="0"/>
        <v>0</v>
      </c>
      <c r="L24" s="205">
        <f t="shared" si="1"/>
        <v>0</v>
      </c>
      <c r="M24" s="206" t="str">
        <f t="shared" si="2"/>
        <v/>
      </c>
      <c r="N24" s="208"/>
      <c r="O24" s="208"/>
      <c r="P24" s="209"/>
    </row>
    <row r="25" spans="1:16" ht="63">
      <c r="A25" s="149">
        <v>15</v>
      </c>
      <c r="B25" s="307" t="s">
        <v>746</v>
      </c>
      <c r="C25" s="323" t="s">
        <v>747</v>
      </c>
      <c r="D25" s="245"/>
      <c r="E25" s="210">
        <v>0.18</v>
      </c>
      <c r="F25" s="246"/>
      <c r="G25" s="324" t="s">
        <v>748</v>
      </c>
      <c r="H25" s="325" t="s">
        <v>284</v>
      </c>
      <c r="I25" s="327">
        <v>672</v>
      </c>
      <c r="J25" s="243"/>
      <c r="K25" s="247">
        <f t="shared" si="0"/>
        <v>0</v>
      </c>
      <c r="L25" s="205">
        <f t="shared" si="1"/>
        <v>0</v>
      </c>
      <c r="M25" s="206" t="str">
        <f t="shared" si="2"/>
        <v/>
      </c>
      <c r="N25" s="208"/>
      <c r="O25" s="208"/>
      <c r="P25" s="209"/>
    </row>
    <row r="26" spans="1:16" ht="47.25">
      <c r="A26" s="149">
        <v>16</v>
      </c>
      <c r="B26" s="307" t="s">
        <v>749</v>
      </c>
      <c r="C26" s="323" t="s">
        <v>750</v>
      </c>
      <c r="D26" s="245"/>
      <c r="E26" s="210">
        <v>0.18</v>
      </c>
      <c r="F26" s="246"/>
      <c r="G26" s="324" t="s">
        <v>751</v>
      </c>
      <c r="H26" s="325" t="s">
        <v>359</v>
      </c>
      <c r="I26" s="327">
        <v>25</v>
      </c>
      <c r="J26" s="243"/>
      <c r="K26" s="247">
        <f t="shared" si="0"/>
        <v>0</v>
      </c>
      <c r="L26" s="205">
        <f t="shared" si="1"/>
        <v>0</v>
      </c>
      <c r="M26" s="206" t="str">
        <f t="shared" si="2"/>
        <v/>
      </c>
      <c r="N26" s="208"/>
      <c r="O26" s="208"/>
      <c r="P26" s="209"/>
    </row>
    <row r="27" spans="1:16" ht="157.5">
      <c r="A27" s="149">
        <v>17</v>
      </c>
      <c r="B27" s="307" t="s">
        <v>752</v>
      </c>
      <c r="C27" s="323" t="s">
        <v>753</v>
      </c>
      <c r="D27" s="245"/>
      <c r="E27" s="210">
        <v>0.18</v>
      </c>
      <c r="F27" s="246"/>
      <c r="G27" s="319" t="s">
        <v>754</v>
      </c>
      <c r="H27" s="325" t="s">
        <v>306</v>
      </c>
      <c r="I27" s="327">
        <v>8</v>
      </c>
      <c r="J27" s="243"/>
      <c r="K27" s="247">
        <f t="shared" si="0"/>
        <v>0</v>
      </c>
      <c r="L27" s="205">
        <f t="shared" si="1"/>
        <v>0</v>
      </c>
      <c r="M27" s="206" t="str">
        <f t="shared" si="2"/>
        <v/>
      </c>
      <c r="N27" s="208"/>
      <c r="O27" s="208"/>
      <c r="P27" s="209"/>
    </row>
    <row r="28" spans="1:16" ht="157.5">
      <c r="A28" s="149">
        <v>18</v>
      </c>
      <c r="B28" s="307" t="s">
        <v>755</v>
      </c>
      <c r="C28" s="323" t="s">
        <v>756</v>
      </c>
      <c r="D28" s="245"/>
      <c r="E28" s="210">
        <v>0.18</v>
      </c>
      <c r="F28" s="246"/>
      <c r="G28" s="319" t="s">
        <v>757</v>
      </c>
      <c r="H28" s="325" t="s">
        <v>306</v>
      </c>
      <c r="I28" s="327">
        <v>12</v>
      </c>
      <c r="J28" s="243"/>
      <c r="K28" s="247">
        <f t="shared" si="0"/>
        <v>0</v>
      </c>
      <c r="L28" s="205">
        <f t="shared" si="1"/>
        <v>0</v>
      </c>
      <c r="M28" s="206" t="str">
        <f t="shared" si="2"/>
        <v/>
      </c>
      <c r="N28" s="208"/>
      <c r="O28" s="208"/>
      <c r="P28" s="209"/>
    </row>
    <row r="29" spans="1:16" ht="141.75">
      <c r="A29" s="149">
        <v>19</v>
      </c>
      <c r="B29" s="307" t="s">
        <v>758</v>
      </c>
      <c r="C29" s="323" t="s">
        <v>759</v>
      </c>
      <c r="D29" s="245"/>
      <c r="E29" s="210">
        <v>0.18</v>
      </c>
      <c r="F29" s="246"/>
      <c r="G29" s="324" t="s">
        <v>760</v>
      </c>
      <c r="H29" s="325" t="s">
        <v>284</v>
      </c>
      <c r="I29" s="327">
        <v>28</v>
      </c>
      <c r="J29" s="243"/>
      <c r="K29" s="247">
        <f t="shared" si="0"/>
        <v>0</v>
      </c>
      <c r="L29" s="205">
        <f t="shared" si="1"/>
        <v>0</v>
      </c>
      <c r="M29" s="206" t="str">
        <f t="shared" si="2"/>
        <v/>
      </c>
      <c r="N29" s="208"/>
      <c r="O29" s="208"/>
      <c r="P29" s="209"/>
    </row>
    <row r="30" spans="1:16" ht="154.5" customHeight="1">
      <c r="A30" s="149">
        <v>20</v>
      </c>
      <c r="B30" s="307" t="s">
        <v>761</v>
      </c>
      <c r="C30" s="323" t="s">
        <v>762</v>
      </c>
      <c r="D30" s="245"/>
      <c r="E30" s="210">
        <v>0.18</v>
      </c>
      <c r="F30" s="246"/>
      <c r="G30" s="324" t="s">
        <v>763</v>
      </c>
      <c r="H30" s="325" t="s">
        <v>284</v>
      </c>
      <c r="I30" s="327">
        <v>31</v>
      </c>
      <c r="J30" s="243"/>
      <c r="K30" s="247">
        <f t="shared" si="0"/>
        <v>0</v>
      </c>
      <c r="L30" s="205">
        <f t="shared" si="1"/>
        <v>0</v>
      </c>
      <c r="M30" s="206" t="str">
        <f t="shared" si="2"/>
        <v/>
      </c>
      <c r="N30" s="208"/>
      <c r="O30" s="208"/>
      <c r="P30" s="209"/>
    </row>
    <row r="31" spans="1:16" ht="78.75">
      <c r="A31" s="149">
        <v>21</v>
      </c>
      <c r="B31" s="307" t="s">
        <v>764</v>
      </c>
      <c r="C31" s="323" t="s">
        <v>765</v>
      </c>
      <c r="D31" s="245"/>
      <c r="E31" s="210">
        <v>0.18</v>
      </c>
      <c r="F31" s="246"/>
      <c r="G31" s="324" t="s">
        <v>766</v>
      </c>
      <c r="H31" s="325" t="s">
        <v>359</v>
      </c>
      <c r="I31" s="327">
        <v>13</v>
      </c>
      <c r="J31" s="243"/>
      <c r="K31" s="247">
        <f t="shared" si="0"/>
        <v>0</v>
      </c>
      <c r="L31" s="205">
        <f t="shared" si="1"/>
        <v>0</v>
      </c>
      <c r="M31" s="206" t="str">
        <f t="shared" si="2"/>
        <v/>
      </c>
      <c r="N31" s="208"/>
      <c r="O31" s="208"/>
      <c r="P31" s="209"/>
    </row>
    <row r="32" spans="1:16" ht="78.75">
      <c r="A32" s="149">
        <v>22</v>
      </c>
      <c r="B32" s="307" t="s">
        <v>767</v>
      </c>
      <c r="C32" s="323" t="s">
        <v>768</v>
      </c>
      <c r="D32" s="245"/>
      <c r="E32" s="210">
        <v>0.18</v>
      </c>
      <c r="F32" s="246"/>
      <c r="G32" s="324" t="s">
        <v>769</v>
      </c>
      <c r="H32" s="325" t="s">
        <v>306</v>
      </c>
      <c r="I32" s="327">
        <v>21</v>
      </c>
      <c r="J32" s="243"/>
      <c r="K32" s="247">
        <f t="shared" si="0"/>
        <v>0</v>
      </c>
      <c r="L32" s="205">
        <f t="shared" si="1"/>
        <v>0</v>
      </c>
      <c r="M32" s="206" t="str">
        <f t="shared" si="2"/>
        <v/>
      </c>
      <c r="N32" s="208"/>
      <c r="O32" s="208"/>
      <c r="P32" s="209"/>
    </row>
    <row r="33" spans="1:16" ht="15.75">
      <c r="A33" s="149"/>
      <c r="B33" s="307"/>
      <c r="C33" s="326"/>
      <c r="D33" s="245"/>
      <c r="E33" s="210"/>
      <c r="F33" s="246"/>
      <c r="G33" s="329" t="s">
        <v>770</v>
      </c>
      <c r="H33" s="325"/>
      <c r="I33" s="327"/>
      <c r="J33" s="243"/>
      <c r="K33" s="247"/>
      <c r="L33" s="205"/>
      <c r="M33" s="206"/>
      <c r="N33" s="208"/>
      <c r="O33" s="208"/>
      <c r="P33" s="209"/>
    </row>
    <row r="34" spans="1:16" ht="94.5">
      <c r="A34" s="149">
        <v>23</v>
      </c>
      <c r="B34" s="307" t="s">
        <v>771</v>
      </c>
      <c r="C34" s="323" t="s">
        <v>772</v>
      </c>
      <c r="D34" s="245"/>
      <c r="E34" s="210">
        <v>0.18</v>
      </c>
      <c r="F34" s="246"/>
      <c r="G34" s="324" t="s">
        <v>773</v>
      </c>
      <c r="H34" s="325" t="s">
        <v>359</v>
      </c>
      <c r="I34" s="327">
        <v>6</v>
      </c>
      <c r="J34" s="243"/>
      <c r="K34" s="247">
        <f t="shared" si="0"/>
        <v>0</v>
      </c>
      <c r="L34" s="205">
        <f t="shared" si="1"/>
        <v>0</v>
      </c>
      <c r="M34" s="206" t="str">
        <f t="shared" si="2"/>
        <v/>
      </c>
      <c r="N34" s="208"/>
      <c r="O34" s="208"/>
      <c r="P34" s="209"/>
    </row>
    <row r="35" spans="1:16" ht="94.5">
      <c r="A35" s="149">
        <v>24</v>
      </c>
      <c r="B35" s="307" t="s">
        <v>774</v>
      </c>
      <c r="C35" s="323" t="s">
        <v>775</v>
      </c>
      <c r="D35" s="245"/>
      <c r="E35" s="210">
        <v>0.18</v>
      </c>
      <c r="F35" s="246"/>
      <c r="G35" s="324" t="s">
        <v>776</v>
      </c>
      <c r="H35" s="325" t="s">
        <v>359</v>
      </c>
      <c r="I35" s="327">
        <v>2</v>
      </c>
      <c r="J35" s="243"/>
      <c r="K35" s="247">
        <f t="shared" si="0"/>
        <v>0</v>
      </c>
      <c r="L35" s="205">
        <f t="shared" si="1"/>
        <v>0</v>
      </c>
      <c r="M35" s="206" t="str">
        <f t="shared" si="2"/>
        <v/>
      </c>
      <c r="N35" s="208"/>
      <c r="O35" s="208"/>
      <c r="P35" s="209"/>
    </row>
    <row r="36" spans="1:16" ht="78.75">
      <c r="A36" s="149">
        <v>25</v>
      </c>
      <c r="B36" s="307" t="s">
        <v>777</v>
      </c>
      <c r="C36" s="323" t="s">
        <v>778</v>
      </c>
      <c r="D36" s="245"/>
      <c r="E36" s="210">
        <v>0.18</v>
      </c>
      <c r="F36" s="246"/>
      <c r="G36" s="324" t="s">
        <v>779</v>
      </c>
      <c r="H36" s="325" t="s">
        <v>359</v>
      </c>
      <c r="I36" s="327">
        <v>2</v>
      </c>
      <c r="J36" s="243"/>
      <c r="K36" s="247">
        <f t="shared" si="0"/>
        <v>0</v>
      </c>
      <c r="L36" s="205">
        <f t="shared" si="1"/>
        <v>0</v>
      </c>
      <c r="M36" s="206" t="str">
        <f t="shared" si="2"/>
        <v/>
      </c>
      <c r="N36" s="208"/>
      <c r="O36" s="208"/>
      <c r="P36" s="209"/>
    </row>
    <row r="37" spans="1:16" ht="126">
      <c r="A37" s="149">
        <v>26</v>
      </c>
      <c r="B37" s="307" t="s">
        <v>780</v>
      </c>
      <c r="C37" s="323" t="s">
        <v>781</v>
      </c>
      <c r="D37" s="245"/>
      <c r="E37" s="210">
        <v>0.18</v>
      </c>
      <c r="F37" s="246"/>
      <c r="G37" s="324" t="s">
        <v>782</v>
      </c>
      <c r="H37" s="325" t="s">
        <v>359</v>
      </c>
      <c r="I37" s="327">
        <v>4</v>
      </c>
      <c r="J37" s="243"/>
      <c r="K37" s="247">
        <f t="shared" si="0"/>
        <v>0</v>
      </c>
      <c r="L37" s="205">
        <f t="shared" si="1"/>
        <v>0</v>
      </c>
      <c r="M37" s="206" t="str">
        <f t="shared" si="2"/>
        <v/>
      </c>
      <c r="N37" s="208"/>
      <c r="O37" s="208"/>
      <c r="P37" s="209"/>
    </row>
    <row r="38" spans="1:16" ht="63">
      <c r="A38" s="149">
        <v>27</v>
      </c>
      <c r="B38" s="307" t="s">
        <v>783</v>
      </c>
      <c r="C38" s="323" t="s">
        <v>784</v>
      </c>
      <c r="D38" s="245"/>
      <c r="E38" s="210">
        <v>0.18</v>
      </c>
      <c r="F38" s="246"/>
      <c r="G38" s="324" t="s">
        <v>785</v>
      </c>
      <c r="H38" s="325" t="s">
        <v>359</v>
      </c>
      <c r="I38" s="327">
        <v>6</v>
      </c>
      <c r="J38" s="243"/>
      <c r="K38" s="247">
        <f t="shared" si="0"/>
        <v>0</v>
      </c>
      <c r="L38" s="205">
        <f t="shared" si="1"/>
        <v>0</v>
      </c>
      <c r="M38" s="206" t="str">
        <f t="shared" si="2"/>
        <v/>
      </c>
      <c r="N38" s="208"/>
      <c r="O38" s="208"/>
      <c r="P38" s="209"/>
    </row>
    <row r="39" spans="1:16" ht="63">
      <c r="A39" s="149">
        <v>28</v>
      </c>
      <c r="B39" s="307" t="s">
        <v>786</v>
      </c>
      <c r="C39" s="323" t="s">
        <v>787</v>
      </c>
      <c r="D39" s="245"/>
      <c r="E39" s="210">
        <v>0.18</v>
      </c>
      <c r="F39" s="246"/>
      <c r="G39" s="324" t="s">
        <v>788</v>
      </c>
      <c r="H39" s="325" t="s">
        <v>359</v>
      </c>
      <c r="I39" s="327">
        <v>6</v>
      </c>
      <c r="J39" s="243"/>
      <c r="K39" s="247">
        <f t="shared" si="0"/>
        <v>0</v>
      </c>
      <c r="L39" s="205">
        <f t="shared" si="1"/>
        <v>0</v>
      </c>
      <c r="M39" s="206" t="str">
        <f t="shared" si="2"/>
        <v/>
      </c>
      <c r="N39" s="208"/>
      <c r="O39" s="208"/>
      <c r="P39" s="209"/>
    </row>
    <row r="40" spans="1:16" ht="47.25">
      <c r="A40" s="149">
        <v>29</v>
      </c>
      <c r="B40" s="307" t="s">
        <v>789</v>
      </c>
      <c r="C40" s="323" t="s">
        <v>790</v>
      </c>
      <c r="D40" s="245"/>
      <c r="E40" s="210">
        <v>0.18</v>
      </c>
      <c r="F40" s="246"/>
      <c r="G40" s="324" t="s">
        <v>791</v>
      </c>
      <c r="H40" s="325" t="s">
        <v>359</v>
      </c>
      <c r="I40" s="327">
        <v>6</v>
      </c>
      <c r="J40" s="243"/>
      <c r="K40" s="247">
        <f t="shared" si="0"/>
        <v>0</v>
      </c>
      <c r="L40" s="205">
        <f t="shared" si="1"/>
        <v>0</v>
      </c>
      <c r="M40" s="206" t="str">
        <f t="shared" si="2"/>
        <v/>
      </c>
      <c r="N40" s="208"/>
      <c r="O40" s="208"/>
      <c r="P40" s="209"/>
    </row>
    <row r="41" spans="1:16" ht="47.25">
      <c r="A41" s="149">
        <v>30</v>
      </c>
      <c r="B41" s="307" t="s">
        <v>792</v>
      </c>
      <c r="C41" s="323" t="s">
        <v>793</v>
      </c>
      <c r="D41" s="245"/>
      <c r="E41" s="210">
        <v>0.18</v>
      </c>
      <c r="F41" s="246"/>
      <c r="G41" s="324" t="s">
        <v>794</v>
      </c>
      <c r="H41" s="325" t="s">
        <v>359</v>
      </c>
      <c r="I41" s="327">
        <v>2</v>
      </c>
      <c r="J41" s="243"/>
      <c r="K41" s="247">
        <f t="shared" si="0"/>
        <v>0</v>
      </c>
      <c r="L41" s="205">
        <f t="shared" si="1"/>
        <v>0</v>
      </c>
      <c r="M41" s="206" t="str">
        <f t="shared" si="2"/>
        <v/>
      </c>
      <c r="N41" s="208"/>
      <c r="O41" s="208"/>
      <c r="P41" s="209"/>
    </row>
    <row r="42" spans="1:16" ht="94.5">
      <c r="A42" s="149">
        <v>31</v>
      </c>
      <c r="B42" s="307" t="s">
        <v>795</v>
      </c>
      <c r="C42" s="323" t="s">
        <v>796</v>
      </c>
      <c r="D42" s="245"/>
      <c r="E42" s="210">
        <v>0.18</v>
      </c>
      <c r="F42" s="246"/>
      <c r="G42" s="324" t="s">
        <v>797</v>
      </c>
      <c r="H42" s="325" t="s">
        <v>359</v>
      </c>
      <c r="I42" s="327">
        <v>2</v>
      </c>
      <c r="J42" s="243"/>
      <c r="K42" s="247">
        <f t="shared" si="0"/>
        <v>0</v>
      </c>
      <c r="L42" s="205">
        <f t="shared" si="1"/>
        <v>0</v>
      </c>
      <c r="M42" s="206" t="str">
        <f t="shared" si="2"/>
        <v/>
      </c>
      <c r="N42" s="208"/>
      <c r="O42" s="208"/>
      <c r="P42" s="209"/>
    </row>
    <row r="43" spans="1:16" ht="78.75">
      <c r="A43" s="149">
        <v>32</v>
      </c>
      <c r="B43" s="307" t="s">
        <v>798</v>
      </c>
      <c r="C43" s="323" t="s">
        <v>799</v>
      </c>
      <c r="D43" s="245"/>
      <c r="E43" s="210">
        <v>0.18</v>
      </c>
      <c r="F43" s="246"/>
      <c r="G43" s="324" t="s">
        <v>800</v>
      </c>
      <c r="H43" s="325" t="s">
        <v>359</v>
      </c>
      <c r="I43" s="327">
        <v>10</v>
      </c>
      <c r="J43" s="243"/>
      <c r="K43" s="247">
        <f t="shared" si="0"/>
        <v>0</v>
      </c>
      <c r="L43" s="205">
        <f t="shared" si="1"/>
        <v>0</v>
      </c>
      <c r="M43" s="206" t="str">
        <f t="shared" si="2"/>
        <v/>
      </c>
      <c r="N43" s="208"/>
      <c r="O43" s="208"/>
      <c r="P43" s="209"/>
    </row>
    <row r="44" spans="1:16" ht="63">
      <c r="A44" s="149">
        <v>33</v>
      </c>
      <c r="B44" s="307" t="s">
        <v>801</v>
      </c>
      <c r="C44" s="323" t="s">
        <v>802</v>
      </c>
      <c r="D44" s="245"/>
      <c r="E44" s="210">
        <v>0.18</v>
      </c>
      <c r="F44" s="246"/>
      <c r="G44" s="324" t="s">
        <v>803</v>
      </c>
      <c r="H44" s="325" t="s">
        <v>359</v>
      </c>
      <c r="I44" s="327">
        <v>2</v>
      </c>
      <c r="J44" s="243"/>
      <c r="K44" s="247">
        <f t="shared" si="0"/>
        <v>0</v>
      </c>
      <c r="L44" s="205">
        <f t="shared" si="1"/>
        <v>0</v>
      </c>
      <c r="M44" s="206" t="str">
        <f t="shared" si="2"/>
        <v/>
      </c>
      <c r="N44" s="208"/>
      <c r="O44" s="208"/>
      <c r="P44" s="209"/>
    </row>
    <row r="45" spans="1:16" ht="63">
      <c r="A45" s="149">
        <v>34</v>
      </c>
      <c r="B45" s="307" t="s">
        <v>804</v>
      </c>
      <c r="C45" s="323" t="s">
        <v>805</v>
      </c>
      <c r="D45" s="245"/>
      <c r="E45" s="210">
        <v>0.18</v>
      </c>
      <c r="F45" s="246"/>
      <c r="G45" s="324" t="s">
        <v>806</v>
      </c>
      <c r="H45" s="325" t="s">
        <v>359</v>
      </c>
      <c r="I45" s="327">
        <v>2</v>
      </c>
      <c r="J45" s="243"/>
      <c r="K45" s="247">
        <f t="shared" si="0"/>
        <v>0</v>
      </c>
      <c r="L45" s="205">
        <f t="shared" si="1"/>
        <v>0</v>
      </c>
      <c r="M45" s="206" t="str">
        <f t="shared" si="2"/>
        <v/>
      </c>
      <c r="N45" s="208"/>
      <c r="O45" s="208"/>
      <c r="P45" s="209"/>
    </row>
    <row r="46" spans="1:16" ht="63">
      <c r="A46" s="149">
        <v>35</v>
      </c>
      <c r="B46" s="307" t="s">
        <v>807</v>
      </c>
      <c r="C46" s="323" t="s">
        <v>808</v>
      </c>
      <c r="D46" s="245"/>
      <c r="E46" s="210">
        <v>0.18</v>
      </c>
      <c r="F46" s="246"/>
      <c r="G46" s="324" t="s">
        <v>809</v>
      </c>
      <c r="H46" s="325" t="s">
        <v>359</v>
      </c>
      <c r="I46" s="327">
        <v>1</v>
      </c>
      <c r="J46" s="243"/>
      <c r="K46" s="247">
        <f t="shared" si="0"/>
        <v>0</v>
      </c>
      <c r="L46" s="205">
        <f t="shared" si="1"/>
        <v>0</v>
      </c>
      <c r="M46" s="206" t="str">
        <f t="shared" si="2"/>
        <v/>
      </c>
      <c r="N46" s="208"/>
      <c r="O46" s="208"/>
      <c r="P46" s="209"/>
    </row>
    <row r="47" spans="1:16" ht="63">
      <c r="A47" s="149">
        <v>36</v>
      </c>
      <c r="B47" s="307" t="s">
        <v>810</v>
      </c>
      <c r="C47" s="323" t="s">
        <v>811</v>
      </c>
      <c r="D47" s="245"/>
      <c r="E47" s="210">
        <v>0.18</v>
      </c>
      <c r="F47" s="246"/>
      <c r="G47" s="324" t="s">
        <v>812</v>
      </c>
      <c r="H47" s="325" t="s">
        <v>359</v>
      </c>
      <c r="I47" s="327">
        <v>2</v>
      </c>
      <c r="J47" s="243"/>
      <c r="K47" s="247">
        <f t="shared" si="0"/>
        <v>0</v>
      </c>
      <c r="L47" s="205">
        <f t="shared" si="1"/>
        <v>0</v>
      </c>
      <c r="M47" s="206" t="str">
        <f t="shared" si="2"/>
        <v/>
      </c>
      <c r="N47" s="208"/>
      <c r="O47" s="208"/>
      <c r="P47" s="209"/>
    </row>
    <row r="48" spans="1:16" ht="16.5">
      <c r="A48" s="224"/>
      <c r="B48" s="225"/>
      <c r="C48" s="226"/>
      <c r="D48" s="226"/>
      <c r="E48" s="226"/>
      <c r="F48" s="228"/>
      <c r="G48" s="313" t="s">
        <v>813</v>
      </c>
      <c r="H48" s="233"/>
      <c r="I48" s="233"/>
      <c r="J48" s="233"/>
      <c r="K48" s="309">
        <f>SUM(K11:K47)</f>
        <v>0</v>
      </c>
      <c r="L48" s="309">
        <f>SUM(L11:L47)</f>
        <v>0</v>
      </c>
      <c r="M48" s="206"/>
      <c r="N48" s="208"/>
      <c r="O48" s="208"/>
      <c r="P48" s="209"/>
    </row>
    <row r="49" spans="1:16" ht="30.75" customHeight="1">
      <c r="A49" s="224" t="s">
        <v>701</v>
      </c>
      <c r="B49" s="225"/>
      <c r="C49" s="226"/>
      <c r="D49" s="226"/>
      <c r="E49" s="227"/>
      <c r="F49" s="228"/>
      <c r="G49" s="313" t="s">
        <v>814</v>
      </c>
      <c r="H49" s="229"/>
      <c r="I49" s="230"/>
      <c r="J49" s="231"/>
      <c r="K49" s="232"/>
      <c r="L49" s="232"/>
      <c r="M49" s="206"/>
      <c r="N49" s="208"/>
      <c r="O49" s="208"/>
      <c r="P49" s="209"/>
    </row>
    <row r="50" spans="1:16" ht="143.25" customHeight="1">
      <c r="A50" s="149">
        <v>1</v>
      </c>
      <c r="B50" s="354" t="s">
        <v>703</v>
      </c>
      <c r="C50" s="323" t="s">
        <v>704</v>
      </c>
      <c r="D50" s="245"/>
      <c r="E50" s="210">
        <v>0.18</v>
      </c>
      <c r="F50" s="246"/>
      <c r="G50" s="324" t="s">
        <v>705</v>
      </c>
      <c r="H50" s="325" t="s">
        <v>306</v>
      </c>
      <c r="I50" s="327">
        <v>242</v>
      </c>
      <c r="J50" s="243"/>
      <c r="K50" s="247">
        <f t="shared" ref="K50" si="3">ROUND(J50*I50,2)</f>
        <v>0</v>
      </c>
      <c r="L50" s="205">
        <f t="shared" ref="L50" si="4">ROUND(K50*E50,2)</f>
        <v>0</v>
      </c>
      <c r="M50" s="206" t="str">
        <f t="shared" si="2"/>
        <v/>
      </c>
      <c r="N50" s="208"/>
      <c r="O50" s="208"/>
      <c r="P50" s="209"/>
    </row>
    <row r="51" spans="1:16" ht="162.75" customHeight="1">
      <c r="A51" s="149">
        <v>2</v>
      </c>
      <c r="B51" s="354" t="s">
        <v>706</v>
      </c>
      <c r="C51" s="323" t="s">
        <v>719</v>
      </c>
      <c r="D51" s="245"/>
      <c r="E51" s="210">
        <v>0.18</v>
      </c>
      <c r="F51" s="246"/>
      <c r="G51" s="324" t="s">
        <v>720</v>
      </c>
      <c r="H51" s="325" t="s">
        <v>306</v>
      </c>
      <c r="I51" s="327">
        <v>168</v>
      </c>
      <c r="J51" s="243"/>
      <c r="K51" s="247">
        <f t="shared" ref="K51:K81" si="5">ROUND(J51*I51,2)</f>
        <v>0</v>
      </c>
      <c r="L51" s="205">
        <f t="shared" ref="L51:L81" si="6">ROUND(K51*E51,2)</f>
        <v>0</v>
      </c>
      <c r="M51" s="206" t="str">
        <f t="shared" si="2"/>
        <v/>
      </c>
      <c r="N51" s="208"/>
      <c r="O51" s="208"/>
      <c r="P51" s="209"/>
    </row>
    <row r="52" spans="1:16" ht="346.5">
      <c r="A52" s="149">
        <v>3</v>
      </c>
      <c r="B52" s="354" t="s">
        <v>709</v>
      </c>
      <c r="C52" s="323" t="s">
        <v>815</v>
      </c>
      <c r="D52" s="245"/>
      <c r="E52" s="210">
        <v>0.18</v>
      </c>
      <c r="F52" s="246"/>
      <c r="G52" s="324" t="s">
        <v>816</v>
      </c>
      <c r="H52" s="325" t="s">
        <v>306</v>
      </c>
      <c r="I52" s="327">
        <v>218</v>
      </c>
      <c r="J52" s="243"/>
      <c r="K52" s="247">
        <f t="shared" si="5"/>
        <v>0</v>
      </c>
      <c r="L52" s="205">
        <f t="shared" si="6"/>
        <v>0</v>
      </c>
      <c r="M52" s="206" t="str">
        <f t="shared" si="2"/>
        <v/>
      </c>
      <c r="N52" s="208"/>
      <c r="O52" s="208"/>
      <c r="P52" s="209"/>
    </row>
    <row r="53" spans="1:16" ht="283.5">
      <c r="A53" s="149">
        <v>4</v>
      </c>
      <c r="B53" s="354" t="s">
        <v>712</v>
      </c>
      <c r="C53" s="323" t="s">
        <v>722</v>
      </c>
      <c r="D53" s="245"/>
      <c r="E53" s="210">
        <v>0.18</v>
      </c>
      <c r="F53" s="246"/>
      <c r="G53" s="324" t="s">
        <v>723</v>
      </c>
      <c r="H53" s="325" t="s">
        <v>306</v>
      </c>
      <c r="I53" s="327">
        <v>40</v>
      </c>
      <c r="J53" s="243"/>
      <c r="K53" s="247">
        <f t="shared" si="5"/>
        <v>0</v>
      </c>
      <c r="L53" s="205">
        <f t="shared" si="6"/>
        <v>0</v>
      </c>
      <c r="M53" s="206" t="str">
        <f t="shared" si="2"/>
        <v/>
      </c>
      <c r="N53" s="208"/>
      <c r="O53" s="208"/>
      <c r="P53" s="209"/>
    </row>
    <row r="54" spans="1:16" ht="105">
      <c r="A54" s="149">
        <v>5</v>
      </c>
      <c r="B54" s="354" t="s">
        <v>715</v>
      </c>
      <c r="C54" s="323" t="s">
        <v>817</v>
      </c>
      <c r="D54" s="245"/>
      <c r="E54" s="210">
        <v>0.18</v>
      </c>
      <c r="F54" s="246"/>
      <c r="G54" s="328" t="s">
        <v>726</v>
      </c>
      <c r="H54" s="325" t="s">
        <v>306</v>
      </c>
      <c r="I54" s="327">
        <v>8</v>
      </c>
      <c r="J54" s="243"/>
      <c r="K54" s="247">
        <f t="shared" si="5"/>
        <v>0</v>
      </c>
      <c r="L54" s="205">
        <f t="shared" si="6"/>
        <v>0</v>
      </c>
      <c r="M54" s="206" t="str">
        <f t="shared" si="2"/>
        <v/>
      </c>
      <c r="N54" s="208"/>
      <c r="O54" s="208"/>
      <c r="P54" s="209"/>
    </row>
    <row r="55" spans="1:16" ht="110.25">
      <c r="A55" s="149">
        <v>6</v>
      </c>
      <c r="B55" s="354" t="s">
        <v>718</v>
      </c>
      <c r="C55" s="323" t="s">
        <v>818</v>
      </c>
      <c r="D55" s="245"/>
      <c r="E55" s="210">
        <v>0.18</v>
      </c>
      <c r="F55" s="246"/>
      <c r="G55" s="324" t="s">
        <v>819</v>
      </c>
      <c r="H55" s="325" t="s">
        <v>272</v>
      </c>
      <c r="I55" s="327">
        <v>6</v>
      </c>
      <c r="J55" s="243"/>
      <c r="K55" s="247">
        <f t="shared" si="5"/>
        <v>0</v>
      </c>
      <c r="L55" s="205">
        <f t="shared" si="6"/>
        <v>0</v>
      </c>
      <c r="M55" s="206" t="str">
        <f t="shared" si="2"/>
        <v/>
      </c>
      <c r="N55" s="208"/>
      <c r="O55" s="208"/>
      <c r="P55" s="209"/>
    </row>
    <row r="56" spans="1:16" ht="31.5">
      <c r="A56" s="149">
        <v>7</v>
      </c>
      <c r="B56" s="354" t="s">
        <v>721</v>
      </c>
      <c r="C56" s="323" t="s">
        <v>732</v>
      </c>
      <c r="D56" s="245"/>
      <c r="E56" s="210">
        <v>0.18</v>
      </c>
      <c r="F56" s="246"/>
      <c r="G56" s="324" t="s">
        <v>733</v>
      </c>
      <c r="H56" s="325" t="s">
        <v>272</v>
      </c>
      <c r="I56" s="327">
        <v>104</v>
      </c>
      <c r="J56" s="243"/>
      <c r="K56" s="247">
        <f t="shared" si="5"/>
        <v>0</v>
      </c>
      <c r="L56" s="205">
        <f t="shared" si="6"/>
        <v>0</v>
      </c>
      <c r="M56" s="206" t="str">
        <f t="shared" si="2"/>
        <v/>
      </c>
      <c r="N56" s="208"/>
      <c r="O56" s="208"/>
      <c r="P56" s="209"/>
    </row>
    <row r="57" spans="1:16" ht="63">
      <c r="A57" s="149">
        <v>8</v>
      </c>
      <c r="B57" s="354" t="s">
        <v>724</v>
      </c>
      <c r="C57" s="323" t="s">
        <v>735</v>
      </c>
      <c r="D57" s="245"/>
      <c r="E57" s="210">
        <v>0.18</v>
      </c>
      <c r="F57" s="246"/>
      <c r="G57" s="324" t="s">
        <v>736</v>
      </c>
      <c r="H57" s="325" t="s">
        <v>272</v>
      </c>
      <c r="I57" s="327">
        <v>17</v>
      </c>
      <c r="J57" s="243"/>
      <c r="K57" s="247">
        <f t="shared" si="5"/>
        <v>0</v>
      </c>
      <c r="L57" s="205">
        <f t="shared" si="6"/>
        <v>0</v>
      </c>
      <c r="M57" s="206" t="str">
        <f t="shared" si="2"/>
        <v/>
      </c>
      <c r="N57" s="208"/>
      <c r="O57" s="208"/>
      <c r="P57" s="209"/>
    </row>
    <row r="58" spans="1:16" ht="78.75">
      <c r="A58" s="149">
        <v>9</v>
      </c>
      <c r="B58" s="354" t="s">
        <v>727</v>
      </c>
      <c r="C58" s="323" t="s">
        <v>738</v>
      </c>
      <c r="D58" s="245"/>
      <c r="E58" s="210">
        <v>0.18</v>
      </c>
      <c r="F58" s="246"/>
      <c r="G58" s="324" t="s">
        <v>739</v>
      </c>
      <c r="H58" s="325" t="s">
        <v>272</v>
      </c>
      <c r="I58" s="327">
        <v>166</v>
      </c>
      <c r="J58" s="243"/>
      <c r="K58" s="247">
        <f t="shared" si="5"/>
        <v>0</v>
      </c>
      <c r="L58" s="205">
        <f t="shared" si="6"/>
        <v>0</v>
      </c>
      <c r="M58" s="206" t="str">
        <f t="shared" si="2"/>
        <v/>
      </c>
      <c r="N58" s="208"/>
      <c r="O58" s="208"/>
      <c r="P58" s="209"/>
    </row>
    <row r="59" spans="1:16" ht="78.75">
      <c r="A59" s="149">
        <v>10</v>
      </c>
      <c r="B59" s="354" t="s">
        <v>731</v>
      </c>
      <c r="C59" s="323" t="s">
        <v>741</v>
      </c>
      <c r="D59" s="245"/>
      <c r="E59" s="210">
        <v>0.18</v>
      </c>
      <c r="F59" s="246"/>
      <c r="G59" s="324" t="s">
        <v>742</v>
      </c>
      <c r="H59" s="325" t="s">
        <v>306</v>
      </c>
      <c r="I59" s="327">
        <v>214</v>
      </c>
      <c r="J59" s="243"/>
      <c r="K59" s="247">
        <f t="shared" si="5"/>
        <v>0</v>
      </c>
      <c r="L59" s="205">
        <f t="shared" si="6"/>
        <v>0</v>
      </c>
      <c r="M59" s="206" t="str">
        <f t="shared" si="2"/>
        <v/>
      </c>
      <c r="N59" s="208"/>
      <c r="O59" s="208"/>
      <c r="P59" s="209"/>
    </row>
    <row r="60" spans="1:16" ht="47.25">
      <c r="A60" s="149">
        <v>11</v>
      </c>
      <c r="B60" s="354" t="s">
        <v>734</v>
      </c>
      <c r="C60" s="323" t="s">
        <v>744</v>
      </c>
      <c r="D60" s="245"/>
      <c r="E60" s="210">
        <v>0.18</v>
      </c>
      <c r="F60" s="246"/>
      <c r="G60" s="324" t="s">
        <v>745</v>
      </c>
      <c r="H60" s="325" t="s">
        <v>306</v>
      </c>
      <c r="I60" s="327">
        <v>39</v>
      </c>
      <c r="J60" s="243"/>
      <c r="K60" s="247">
        <f t="shared" si="5"/>
        <v>0</v>
      </c>
      <c r="L60" s="205">
        <f t="shared" si="6"/>
        <v>0</v>
      </c>
      <c r="M60" s="206" t="str">
        <f t="shared" si="2"/>
        <v/>
      </c>
      <c r="N60" s="208"/>
      <c r="O60" s="208"/>
      <c r="P60" s="209"/>
    </row>
    <row r="61" spans="1:16" ht="157.5">
      <c r="A61" s="149">
        <v>12</v>
      </c>
      <c r="B61" s="354" t="s">
        <v>737</v>
      </c>
      <c r="C61" s="323" t="s">
        <v>753</v>
      </c>
      <c r="D61" s="245"/>
      <c r="E61" s="210">
        <v>0.18</v>
      </c>
      <c r="F61" s="246"/>
      <c r="G61" s="319" t="s">
        <v>754</v>
      </c>
      <c r="H61" s="325" t="s">
        <v>306</v>
      </c>
      <c r="I61" s="327">
        <v>34</v>
      </c>
      <c r="J61" s="243"/>
      <c r="K61" s="247">
        <f t="shared" si="5"/>
        <v>0</v>
      </c>
      <c r="L61" s="205">
        <f t="shared" si="6"/>
        <v>0</v>
      </c>
      <c r="M61" s="206" t="str">
        <f t="shared" si="2"/>
        <v/>
      </c>
      <c r="N61" s="208"/>
      <c r="O61" s="208"/>
      <c r="P61" s="209"/>
    </row>
    <row r="62" spans="1:16" ht="157.5">
      <c r="A62" s="149">
        <v>13</v>
      </c>
      <c r="B62" s="354" t="s">
        <v>740</v>
      </c>
      <c r="C62" s="323" t="s">
        <v>820</v>
      </c>
      <c r="D62" s="245"/>
      <c r="E62" s="210">
        <v>0.18</v>
      </c>
      <c r="F62" s="246"/>
      <c r="G62" s="319" t="s">
        <v>571</v>
      </c>
      <c r="H62" s="325" t="s">
        <v>306</v>
      </c>
      <c r="I62" s="327">
        <v>5</v>
      </c>
      <c r="J62" s="243"/>
      <c r="K62" s="247">
        <f t="shared" si="5"/>
        <v>0</v>
      </c>
      <c r="L62" s="205">
        <f t="shared" si="6"/>
        <v>0</v>
      </c>
      <c r="M62" s="206" t="str">
        <f t="shared" si="2"/>
        <v/>
      </c>
      <c r="N62" s="208"/>
      <c r="O62" s="208"/>
      <c r="P62" s="209"/>
    </row>
    <row r="63" spans="1:16" ht="141.75">
      <c r="A63" s="149">
        <v>14</v>
      </c>
      <c r="B63" s="354" t="s">
        <v>743</v>
      </c>
      <c r="C63" s="323" t="s">
        <v>759</v>
      </c>
      <c r="D63" s="245"/>
      <c r="E63" s="210">
        <v>0.18</v>
      </c>
      <c r="F63" s="246"/>
      <c r="G63" s="324" t="s">
        <v>760</v>
      </c>
      <c r="H63" s="325" t="s">
        <v>284</v>
      </c>
      <c r="I63" s="327">
        <v>26</v>
      </c>
      <c r="J63" s="243"/>
      <c r="K63" s="247">
        <f t="shared" si="5"/>
        <v>0</v>
      </c>
      <c r="L63" s="205">
        <f t="shared" si="6"/>
        <v>0</v>
      </c>
      <c r="M63" s="206" t="str">
        <f t="shared" si="2"/>
        <v/>
      </c>
      <c r="N63" s="208"/>
      <c r="O63" s="208"/>
      <c r="P63" s="209"/>
    </row>
    <row r="64" spans="1:16" ht="153" customHeight="1">
      <c r="A64" s="149">
        <v>15</v>
      </c>
      <c r="B64" s="354" t="s">
        <v>746</v>
      </c>
      <c r="C64" s="323" t="s">
        <v>762</v>
      </c>
      <c r="D64" s="245"/>
      <c r="E64" s="210">
        <v>0.18</v>
      </c>
      <c r="F64" s="246"/>
      <c r="G64" s="324" t="s">
        <v>763</v>
      </c>
      <c r="H64" s="325" t="s">
        <v>284</v>
      </c>
      <c r="I64" s="327">
        <v>21</v>
      </c>
      <c r="J64" s="243"/>
      <c r="K64" s="247">
        <f t="shared" si="5"/>
        <v>0</v>
      </c>
      <c r="L64" s="205">
        <f t="shared" si="6"/>
        <v>0</v>
      </c>
      <c r="M64" s="206" t="str">
        <f t="shared" si="2"/>
        <v/>
      </c>
      <c r="N64" s="208"/>
      <c r="O64" s="208"/>
      <c r="P64" s="209"/>
    </row>
    <row r="65" spans="1:16" ht="94.5">
      <c r="A65" s="149">
        <v>16</v>
      </c>
      <c r="B65" s="354" t="s">
        <v>749</v>
      </c>
      <c r="C65" s="323" t="s">
        <v>765</v>
      </c>
      <c r="D65" s="245"/>
      <c r="E65" s="210">
        <v>0.18</v>
      </c>
      <c r="F65" s="246"/>
      <c r="G65" s="324" t="s">
        <v>821</v>
      </c>
      <c r="H65" s="325" t="s">
        <v>359</v>
      </c>
      <c r="I65" s="327">
        <v>20</v>
      </c>
      <c r="J65" s="243"/>
      <c r="K65" s="247">
        <f t="shared" si="5"/>
        <v>0</v>
      </c>
      <c r="L65" s="205">
        <f t="shared" si="6"/>
        <v>0</v>
      </c>
      <c r="M65" s="206" t="str">
        <f t="shared" si="2"/>
        <v/>
      </c>
      <c r="N65" s="208"/>
      <c r="O65" s="208"/>
      <c r="P65" s="209"/>
    </row>
    <row r="66" spans="1:16" ht="78.75">
      <c r="A66" s="149">
        <v>17</v>
      </c>
      <c r="B66" s="354" t="s">
        <v>752</v>
      </c>
      <c r="C66" s="323" t="s">
        <v>768</v>
      </c>
      <c r="D66" s="245"/>
      <c r="E66" s="210">
        <v>0.18</v>
      </c>
      <c r="F66" s="246"/>
      <c r="G66" s="324" t="s">
        <v>769</v>
      </c>
      <c r="H66" s="325" t="s">
        <v>306</v>
      </c>
      <c r="I66" s="327">
        <v>29</v>
      </c>
      <c r="J66" s="243"/>
      <c r="K66" s="247">
        <f t="shared" si="5"/>
        <v>0</v>
      </c>
      <c r="L66" s="205">
        <f t="shared" si="6"/>
        <v>0</v>
      </c>
      <c r="M66" s="206" t="str">
        <f t="shared" si="2"/>
        <v/>
      </c>
      <c r="N66" s="208"/>
      <c r="O66" s="208"/>
      <c r="P66" s="209"/>
    </row>
    <row r="67" spans="1:16" ht="47.25">
      <c r="A67" s="149">
        <v>18</v>
      </c>
      <c r="B67" s="354" t="s">
        <v>755</v>
      </c>
      <c r="C67" s="323" t="s">
        <v>750</v>
      </c>
      <c r="D67" s="245"/>
      <c r="E67" s="210">
        <v>0.18</v>
      </c>
      <c r="F67" s="246"/>
      <c r="G67" s="324" t="s">
        <v>751</v>
      </c>
      <c r="H67" s="325" t="s">
        <v>359</v>
      </c>
      <c r="I67" s="327">
        <v>15</v>
      </c>
      <c r="J67" s="243"/>
      <c r="K67" s="247">
        <f t="shared" si="5"/>
        <v>0</v>
      </c>
      <c r="L67" s="205">
        <f t="shared" si="6"/>
        <v>0</v>
      </c>
      <c r="M67" s="206" t="str">
        <f t="shared" si="2"/>
        <v/>
      </c>
      <c r="N67" s="208"/>
      <c r="O67" s="208"/>
      <c r="P67" s="209"/>
    </row>
    <row r="68" spans="1:16" ht="47.25">
      <c r="A68" s="149">
        <v>19</v>
      </c>
      <c r="B68" s="354" t="s">
        <v>758</v>
      </c>
      <c r="C68" s="323" t="s">
        <v>822</v>
      </c>
      <c r="D68" s="245"/>
      <c r="E68" s="210">
        <v>0.18</v>
      </c>
      <c r="F68" s="246"/>
      <c r="G68" s="324" t="s">
        <v>823</v>
      </c>
      <c r="H68" s="325" t="s">
        <v>359</v>
      </c>
      <c r="I68" s="327">
        <v>8</v>
      </c>
      <c r="J68" s="243"/>
      <c r="K68" s="247">
        <f t="shared" si="5"/>
        <v>0</v>
      </c>
      <c r="L68" s="205">
        <f t="shared" si="6"/>
        <v>0</v>
      </c>
      <c r="M68" s="206" t="str">
        <f t="shared" si="2"/>
        <v/>
      </c>
      <c r="N68" s="208"/>
      <c r="O68" s="208"/>
      <c r="P68" s="209"/>
    </row>
    <row r="69" spans="1:16" ht="47.25">
      <c r="A69" s="149">
        <v>20</v>
      </c>
      <c r="B69" s="354" t="s">
        <v>761</v>
      </c>
      <c r="C69" s="323" t="s">
        <v>824</v>
      </c>
      <c r="D69" s="245"/>
      <c r="E69" s="210">
        <v>0.18</v>
      </c>
      <c r="F69" s="246"/>
      <c r="G69" s="324" t="s">
        <v>825</v>
      </c>
      <c r="H69" s="325" t="s">
        <v>359</v>
      </c>
      <c r="I69" s="327">
        <v>9</v>
      </c>
      <c r="J69" s="243"/>
      <c r="K69" s="247">
        <f t="shared" si="5"/>
        <v>0</v>
      </c>
      <c r="L69" s="205">
        <f t="shared" si="6"/>
        <v>0</v>
      </c>
      <c r="M69" s="206" t="str">
        <f t="shared" si="2"/>
        <v/>
      </c>
      <c r="N69" s="208"/>
      <c r="O69" s="208"/>
      <c r="P69" s="209"/>
    </row>
    <row r="70" spans="1:16" ht="47.25">
      <c r="A70" s="149">
        <v>21</v>
      </c>
      <c r="B70" s="354" t="s">
        <v>764</v>
      </c>
      <c r="C70" s="323" t="s">
        <v>826</v>
      </c>
      <c r="D70" s="245"/>
      <c r="E70" s="210">
        <v>0.18</v>
      </c>
      <c r="F70" s="246"/>
      <c r="G70" s="324" t="s">
        <v>827</v>
      </c>
      <c r="H70" s="325" t="s">
        <v>359</v>
      </c>
      <c r="I70" s="327">
        <v>9</v>
      </c>
      <c r="J70" s="243"/>
      <c r="K70" s="247">
        <f t="shared" si="5"/>
        <v>0</v>
      </c>
      <c r="L70" s="205">
        <f t="shared" si="6"/>
        <v>0</v>
      </c>
      <c r="M70" s="206" t="str">
        <f t="shared" si="2"/>
        <v/>
      </c>
      <c r="N70" s="208"/>
      <c r="O70" s="208"/>
      <c r="P70" s="209"/>
    </row>
    <row r="71" spans="1:16" ht="63">
      <c r="A71" s="149">
        <v>22</v>
      </c>
      <c r="B71" s="354" t="s">
        <v>767</v>
      </c>
      <c r="C71" s="323" t="s">
        <v>828</v>
      </c>
      <c r="D71" s="245"/>
      <c r="E71" s="210">
        <v>0.18</v>
      </c>
      <c r="F71" s="246"/>
      <c r="G71" s="324" t="s">
        <v>829</v>
      </c>
      <c r="H71" s="325" t="s">
        <v>359</v>
      </c>
      <c r="I71" s="327">
        <v>9</v>
      </c>
      <c r="J71" s="243"/>
      <c r="K71" s="247">
        <f t="shared" si="5"/>
        <v>0</v>
      </c>
      <c r="L71" s="205">
        <f t="shared" si="6"/>
        <v>0</v>
      </c>
      <c r="M71" s="206" t="str">
        <f t="shared" si="2"/>
        <v/>
      </c>
      <c r="N71" s="208"/>
      <c r="O71" s="208"/>
      <c r="P71" s="209"/>
    </row>
    <row r="72" spans="1:16" ht="47.25">
      <c r="A72" s="149">
        <v>23</v>
      </c>
      <c r="B72" s="354" t="s">
        <v>771</v>
      </c>
      <c r="C72" s="323" t="s">
        <v>830</v>
      </c>
      <c r="D72" s="245"/>
      <c r="E72" s="210">
        <v>0.18</v>
      </c>
      <c r="F72" s="246"/>
      <c r="G72" s="324" t="s">
        <v>831</v>
      </c>
      <c r="H72" s="325" t="s">
        <v>306</v>
      </c>
      <c r="I72" s="327">
        <v>47</v>
      </c>
      <c r="J72" s="243"/>
      <c r="K72" s="247">
        <f t="shared" si="5"/>
        <v>0</v>
      </c>
      <c r="L72" s="205">
        <f t="shared" si="6"/>
        <v>0</v>
      </c>
      <c r="M72" s="206" t="str">
        <f t="shared" si="2"/>
        <v/>
      </c>
      <c r="N72" s="208"/>
      <c r="O72" s="208"/>
      <c r="P72" s="209"/>
    </row>
    <row r="73" spans="1:16" ht="63">
      <c r="A73" s="149">
        <v>24</v>
      </c>
      <c r="B73" s="354" t="s">
        <v>774</v>
      </c>
      <c r="C73" s="323" t="s">
        <v>832</v>
      </c>
      <c r="D73" s="245"/>
      <c r="E73" s="210">
        <v>0.18</v>
      </c>
      <c r="F73" s="246"/>
      <c r="G73" s="324" t="s">
        <v>833</v>
      </c>
      <c r="H73" s="325" t="s">
        <v>359</v>
      </c>
      <c r="I73" s="327">
        <v>8</v>
      </c>
      <c r="J73" s="243"/>
      <c r="K73" s="247">
        <f t="shared" si="5"/>
        <v>0</v>
      </c>
      <c r="L73" s="205">
        <f t="shared" si="6"/>
        <v>0</v>
      </c>
      <c r="M73" s="206" t="str">
        <f t="shared" si="2"/>
        <v/>
      </c>
      <c r="N73" s="208"/>
      <c r="O73" s="208"/>
      <c r="P73" s="209"/>
    </row>
    <row r="74" spans="1:16" ht="94.5">
      <c r="A74" s="149">
        <v>25</v>
      </c>
      <c r="B74" s="354" t="s">
        <v>777</v>
      </c>
      <c r="C74" s="323" t="s">
        <v>796</v>
      </c>
      <c r="D74" s="245"/>
      <c r="E74" s="210">
        <v>0.18</v>
      </c>
      <c r="F74" s="246"/>
      <c r="G74" s="324" t="s">
        <v>834</v>
      </c>
      <c r="H74" s="325" t="s">
        <v>359</v>
      </c>
      <c r="I74" s="327">
        <v>9</v>
      </c>
      <c r="J74" s="243"/>
      <c r="K74" s="247">
        <f t="shared" si="5"/>
        <v>0</v>
      </c>
      <c r="L74" s="205">
        <f t="shared" si="6"/>
        <v>0</v>
      </c>
      <c r="M74" s="206" t="str">
        <f t="shared" si="2"/>
        <v/>
      </c>
      <c r="N74" s="208"/>
      <c r="O74" s="208"/>
      <c r="P74" s="209"/>
    </row>
    <row r="75" spans="1:16" ht="94.5">
      <c r="A75" s="149">
        <v>26</v>
      </c>
      <c r="B75" s="354" t="s">
        <v>780</v>
      </c>
      <c r="C75" s="323" t="s">
        <v>772</v>
      </c>
      <c r="D75" s="245"/>
      <c r="E75" s="210">
        <v>0.18</v>
      </c>
      <c r="F75" s="246"/>
      <c r="G75" s="324" t="s">
        <v>773</v>
      </c>
      <c r="H75" s="325" t="s">
        <v>359</v>
      </c>
      <c r="I75" s="327">
        <v>8</v>
      </c>
      <c r="J75" s="243"/>
      <c r="K75" s="247">
        <f t="shared" si="5"/>
        <v>0</v>
      </c>
      <c r="L75" s="205">
        <f t="shared" si="6"/>
        <v>0</v>
      </c>
      <c r="M75" s="206" t="str">
        <f t="shared" si="2"/>
        <v/>
      </c>
      <c r="N75" s="208"/>
      <c r="O75" s="208"/>
      <c r="P75" s="209"/>
    </row>
    <row r="76" spans="1:16" ht="63">
      <c r="A76" s="149">
        <v>27</v>
      </c>
      <c r="B76" s="354" t="s">
        <v>783</v>
      </c>
      <c r="C76" s="323" t="s">
        <v>784</v>
      </c>
      <c r="D76" s="245"/>
      <c r="E76" s="210">
        <v>0.18</v>
      </c>
      <c r="F76" s="246"/>
      <c r="G76" s="324" t="s">
        <v>785</v>
      </c>
      <c r="H76" s="325" t="s">
        <v>359</v>
      </c>
      <c r="I76" s="327">
        <v>8</v>
      </c>
      <c r="J76" s="243"/>
      <c r="K76" s="247">
        <f t="shared" si="5"/>
        <v>0</v>
      </c>
      <c r="L76" s="205">
        <f t="shared" si="6"/>
        <v>0</v>
      </c>
      <c r="M76" s="206" t="str">
        <f t="shared" ref="M76:M138" si="7">IF($P$9&lt;&gt;$P$8,IF(OR(J76="",J76=0),"Included in other item",""),"")</f>
        <v/>
      </c>
      <c r="N76" s="208"/>
      <c r="O76" s="208"/>
      <c r="P76" s="209"/>
    </row>
    <row r="77" spans="1:16" ht="63">
      <c r="A77" s="149">
        <v>28</v>
      </c>
      <c r="B77" s="354" t="s">
        <v>786</v>
      </c>
      <c r="C77" s="323" t="s">
        <v>802</v>
      </c>
      <c r="D77" s="245"/>
      <c r="E77" s="210">
        <v>0.18</v>
      </c>
      <c r="F77" s="246"/>
      <c r="G77" s="324" t="s">
        <v>803</v>
      </c>
      <c r="H77" s="325" t="s">
        <v>359</v>
      </c>
      <c r="I77" s="327">
        <v>4</v>
      </c>
      <c r="J77" s="243"/>
      <c r="K77" s="247">
        <f t="shared" si="5"/>
        <v>0</v>
      </c>
      <c r="L77" s="205">
        <f t="shared" si="6"/>
        <v>0</v>
      </c>
      <c r="M77" s="206" t="str">
        <f t="shared" si="7"/>
        <v/>
      </c>
      <c r="N77" s="208"/>
      <c r="O77" s="208"/>
      <c r="P77" s="209"/>
    </row>
    <row r="78" spans="1:16" ht="63">
      <c r="A78" s="149">
        <v>29</v>
      </c>
      <c r="B78" s="354" t="s">
        <v>789</v>
      </c>
      <c r="C78" s="323" t="s">
        <v>805</v>
      </c>
      <c r="D78" s="245"/>
      <c r="E78" s="210">
        <v>0.18</v>
      </c>
      <c r="F78" s="246"/>
      <c r="G78" s="324" t="s">
        <v>806</v>
      </c>
      <c r="H78" s="325" t="s">
        <v>359</v>
      </c>
      <c r="I78" s="327">
        <v>4</v>
      </c>
      <c r="J78" s="243"/>
      <c r="K78" s="247">
        <f t="shared" si="5"/>
        <v>0</v>
      </c>
      <c r="L78" s="205">
        <f t="shared" si="6"/>
        <v>0</v>
      </c>
      <c r="M78" s="206" t="str">
        <f t="shared" si="7"/>
        <v/>
      </c>
      <c r="N78" s="208"/>
      <c r="O78" s="208"/>
      <c r="P78" s="209"/>
    </row>
    <row r="79" spans="1:16" ht="63">
      <c r="A79" s="149">
        <v>30</v>
      </c>
      <c r="B79" s="354" t="s">
        <v>792</v>
      </c>
      <c r="C79" s="323" t="s">
        <v>808</v>
      </c>
      <c r="D79" s="245"/>
      <c r="E79" s="210">
        <v>0.18</v>
      </c>
      <c r="F79" s="246"/>
      <c r="G79" s="324" t="s">
        <v>809</v>
      </c>
      <c r="H79" s="325" t="s">
        <v>359</v>
      </c>
      <c r="I79" s="327">
        <v>5</v>
      </c>
      <c r="J79" s="243"/>
      <c r="K79" s="247">
        <f t="shared" si="5"/>
        <v>0</v>
      </c>
      <c r="L79" s="205">
        <f t="shared" si="6"/>
        <v>0</v>
      </c>
      <c r="M79" s="206" t="str">
        <f t="shared" si="7"/>
        <v/>
      </c>
      <c r="N79" s="208"/>
      <c r="O79" s="208"/>
      <c r="P79" s="209"/>
    </row>
    <row r="80" spans="1:16" ht="63">
      <c r="A80" s="149">
        <v>31</v>
      </c>
      <c r="B80" s="354" t="s">
        <v>795</v>
      </c>
      <c r="C80" s="323" t="s">
        <v>811</v>
      </c>
      <c r="D80" s="245"/>
      <c r="E80" s="210">
        <v>0.18</v>
      </c>
      <c r="F80" s="246"/>
      <c r="G80" s="324" t="s">
        <v>812</v>
      </c>
      <c r="H80" s="325" t="s">
        <v>359</v>
      </c>
      <c r="I80" s="327">
        <v>2</v>
      </c>
      <c r="J80" s="243"/>
      <c r="K80" s="247">
        <f t="shared" si="5"/>
        <v>0</v>
      </c>
      <c r="L80" s="205">
        <f t="shared" si="6"/>
        <v>0</v>
      </c>
      <c r="M80" s="206" t="str">
        <f t="shared" si="7"/>
        <v/>
      </c>
      <c r="N80" s="208"/>
      <c r="O80" s="208"/>
      <c r="P80" s="209"/>
    </row>
    <row r="81" spans="1:16" ht="78.75">
      <c r="A81" s="149">
        <v>32</v>
      </c>
      <c r="B81" s="354" t="s">
        <v>798</v>
      </c>
      <c r="C81" s="323" t="s">
        <v>835</v>
      </c>
      <c r="D81" s="245"/>
      <c r="E81" s="210">
        <v>0.18</v>
      </c>
      <c r="F81" s="246"/>
      <c r="G81" s="324" t="s">
        <v>800</v>
      </c>
      <c r="H81" s="325" t="s">
        <v>359</v>
      </c>
      <c r="I81" s="327">
        <v>16</v>
      </c>
      <c r="J81" s="243"/>
      <c r="K81" s="247">
        <f t="shared" si="5"/>
        <v>0</v>
      </c>
      <c r="L81" s="205">
        <f t="shared" si="6"/>
        <v>0</v>
      </c>
      <c r="M81" s="206" t="str">
        <f t="shared" si="7"/>
        <v/>
      </c>
      <c r="N81" s="208"/>
      <c r="O81" s="208"/>
      <c r="P81" s="209"/>
    </row>
    <row r="82" spans="1:16" ht="16.5">
      <c r="A82" s="224"/>
      <c r="B82" s="225"/>
      <c r="C82" s="226"/>
      <c r="D82" s="226"/>
      <c r="E82" s="226"/>
      <c r="F82" s="228"/>
      <c r="G82" s="313" t="s">
        <v>836</v>
      </c>
      <c r="H82" s="233"/>
      <c r="I82" s="233"/>
      <c r="J82" s="233"/>
      <c r="K82" s="309">
        <f>SUM(K50:K81)</f>
        <v>0</v>
      </c>
      <c r="L82" s="309">
        <f>SUM(L50:L81)</f>
        <v>0</v>
      </c>
      <c r="M82" s="206"/>
      <c r="N82" s="208"/>
      <c r="O82" s="208"/>
      <c r="P82" s="209"/>
    </row>
    <row r="83" spans="1:16" ht="15.75">
      <c r="A83" s="149"/>
      <c r="B83" s="354"/>
      <c r="C83" s="323"/>
      <c r="D83" s="245"/>
      <c r="E83" s="210"/>
      <c r="F83" s="246"/>
      <c r="G83" s="324"/>
      <c r="H83" s="325"/>
      <c r="I83" s="327"/>
      <c r="J83" s="243"/>
      <c r="K83" s="247"/>
      <c r="L83" s="205"/>
      <c r="M83" s="206"/>
      <c r="N83" s="208"/>
      <c r="O83" s="208"/>
      <c r="P83" s="209"/>
    </row>
    <row r="84" spans="1:16" ht="16.5">
      <c r="A84" s="251" t="s">
        <v>837</v>
      </c>
      <c r="B84" s="252"/>
      <c r="C84" s="253"/>
      <c r="D84" s="253"/>
      <c r="E84" s="253"/>
      <c r="F84" s="254"/>
      <c r="G84" s="315" t="s">
        <v>838</v>
      </c>
      <c r="H84" s="255"/>
      <c r="I84" s="256"/>
      <c r="J84" s="243"/>
      <c r="K84" s="247"/>
      <c r="L84" s="205"/>
      <c r="M84" s="206"/>
      <c r="N84" s="208"/>
      <c r="O84" s="208"/>
      <c r="P84" s="209"/>
    </row>
    <row r="85" spans="1:16" ht="31.5">
      <c r="A85" s="149">
        <v>1</v>
      </c>
      <c r="B85" s="302" t="s">
        <v>703</v>
      </c>
      <c r="C85" s="331" t="s">
        <v>839</v>
      </c>
      <c r="D85" s="245"/>
      <c r="E85" s="210">
        <v>0.18</v>
      </c>
      <c r="F85" s="246"/>
      <c r="G85" s="314" t="s">
        <v>840</v>
      </c>
      <c r="H85" s="295" t="s">
        <v>359</v>
      </c>
      <c r="I85" s="311">
        <v>20</v>
      </c>
      <c r="J85" s="243"/>
      <c r="K85" s="247">
        <f t="shared" ref="K85" si="8">ROUND(J85*I85,2)</f>
        <v>0</v>
      </c>
      <c r="L85" s="205">
        <f t="shared" ref="L85" si="9">ROUND(K85*E85,2)</f>
        <v>0</v>
      </c>
      <c r="M85" s="206" t="str">
        <f t="shared" si="7"/>
        <v/>
      </c>
      <c r="N85" s="208"/>
      <c r="O85" s="208"/>
      <c r="P85" s="209"/>
    </row>
    <row r="86" spans="1:16" ht="60">
      <c r="A86" s="310">
        <f>+A85+1</f>
        <v>2</v>
      </c>
      <c r="B86" s="302" t="s">
        <v>706</v>
      </c>
      <c r="C86" s="331" t="s">
        <v>841</v>
      </c>
      <c r="D86" s="245"/>
      <c r="E86" s="210">
        <v>0.18</v>
      </c>
      <c r="F86" s="246"/>
      <c r="G86" s="314" t="s">
        <v>842</v>
      </c>
      <c r="H86" s="295" t="s">
        <v>359</v>
      </c>
      <c r="I86" s="311">
        <v>3</v>
      </c>
      <c r="J86" s="243"/>
      <c r="K86" s="247">
        <f t="shared" ref="K86:K106" si="10">ROUND(J86*I86,2)</f>
        <v>0</v>
      </c>
      <c r="L86" s="205">
        <f t="shared" ref="L86:L106" si="11">ROUND(K86*E86,2)</f>
        <v>0</v>
      </c>
      <c r="M86" s="206" t="str">
        <f t="shared" si="7"/>
        <v/>
      </c>
      <c r="N86" s="208"/>
      <c r="O86" s="208"/>
      <c r="P86" s="209"/>
    </row>
    <row r="87" spans="1:16" ht="47.25">
      <c r="A87" s="310">
        <f t="shared" ref="A87:A106" si="12">+A86+1</f>
        <v>3</v>
      </c>
      <c r="B87" s="302" t="s">
        <v>709</v>
      </c>
      <c r="C87" s="331" t="s">
        <v>843</v>
      </c>
      <c r="D87" s="245"/>
      <c r="E87" s="210">
        <v>0.18</v>
      </c>
      <c r="F87" s="246"/>
      <c r="G87" s="314" t="s">
        <v>844</v>
      </c>
      <c r="H87" s="295" t="s">
        <v>359</v>
      </c>
      <c r="I87" s="311">
        <v>15</v>
      </c>
      <c r="J87" s="243"/>
      <c r="K87" s="247">
        <f t="shared" si="10"/>
        <v>0</v>
      </c>
      <c r="L87" s="205">
        <f t="shared" si="11"/>
        <v>0</v>
      </c>
      <c r="M87" s="206" t="str">
        <f t="shared" si="7"/>
        <v/>
      </c>
      <c r="N87" s="208"/>
      <c r="O87" s="208"/>
      <c r="P87" s="209"/>
    </row>
    <row r="88" spans="1:16" ht="60">
      <c r="A88" s="310">
        <f t="shared" si="12"/>
        <v>4</v>
      </c>
      <c r="B88" s="302" t="s">
        <v>712</v>
      </c>
      <c r="C88" s="331" t="s">
        <v>845</v>
      </c>
      <c r="D88" s="245"/>
      <c r="E88" s="210">
        <v>0.18</v>
      </c>
      <c r="F88" s="246"/>
      <c r="G88" s="314" t="s">
        <v>846</v>
      </c>
      <c r="H88" s="295" t="s">
        <v>359</v>
      </c>
      <c r="I88" s="311">
        <v>239</v>
      </c>
      <c r="J88" s="243"/>
      <c r="K88" s="247">
        <f t="shared" si="10"/>
        <v>0</v>
      </c>
      <c r="L88" s="205">
        <f t="shared" si="11"/>
        <v>0</v>
      </c>
      <c r="M88" s="206" t="str">
        <f t="shared" si="7"/>
        <v/>
      </c>
      <c r="N88" s="208"/>
      <c r="O88" s="208"/>
      <c r="P88" s="209"/>
    </row>
    <row r="89" spans="1:16" ht="45">
      <c r="A89" s="310">
        <f t="shared" si="12"/>
        <v>5</v>
      </c>
      <c r="B89" s="302" t="s">
        <v>715</v>
      </c>
      <c r="C89" s="331" t="s">
        <v>847</v>
      </c>
      <c r="D89" s="245"/>
      <c r="E89" s="210">
        <v>0.18</v>
      </c>
      <c r="F89" s="246"/>
      <c r="G89" s="314" t="s">
        <v>848</v>
      </c>
      <c r="H89" s="295" t="s">
        <v>359</v>
      </c>
      <c r="I89" s="311">
        <v>28</v>
      </c>
      <c r="J89" s="243"/>
      <c r="K89" s="247">
        <f t="shared" si="10"/>
        <v>0</v>
      </c>
      <c r="L89" s="205">
        <f t="shared" si="11"/>
        <v>0</v>
      </c>
      <c r="M89" s="206" t="str">
        <f t="shared" si="7"/>
        <v/>
      </c>
      <c r="N89" s="208"/>
      <c r="O89" s="208"/>
      <c r="P89" s="209"/>
    </row>
    <row r="90" spans="1:16" ht="45">
      <c r="A90" s="310">
        <f t="shared" si="12"/>
        <v>6</v>
      </c>
      <c r="B90" s="302" t="s">
        <v>718</v>
      </c>
      <c r="C90" s="331" t="s">
        <v>849</v>
      </c>
      <c r="D90" s="245"/>
      <c r="E90" s="210">
        <v>0.18</v>
      </c>
      <c r="F90" s="246"/>
      <c r="G90" s="314" t="s">
        <v>850</v>
      </c>
      <c r="H90" s="295" t="s">
        <v>284</v>
      </c>
      <c r="I90" s="311">
        <v>105</v>
      </c>
      <c r="J90" s="243"/>
      <c r="K90" s="247">
        <f t="shared" si="10"/>
        <v>0</v>
      </c>
      <c r="L90" s="205">
        <f t="shared" si="11"/>
        <v>0</v>
      </c>
      <c r="M90" s="206" t="str">
        <f t="shared" si="7"/>
        <v/>
      </c>
      <c r="N90" s="208"/>
      <c r="O90" s="208"/>
      <c r="P90" s="209"/>
    </row>
    <row r="91" spans="1:16" ht="60">
      <c r="A91" s="310">
        <f t="shared" si="12"/>
        <v>7</v>
      </c>
      <c r="B91" s="302" t="s">
        <v>721</v>
      </c>
      <c r="C91" s="331" t="s">
        <v>851</v>
      </c>
      <c r="D91" s="245"/>
      <c r="E91" s="210">
        <v>0.18</v>
      </c>
      <c r="F91" s="246"/>
      <c r="G91" s="314" t="s">
        <v>852</v>
      </c>
      <c r="H91" s="295" t="s">
        <v>359</v>
      </c>
      <c r="I91" s="311">
        <v>26</v>
      </c>
      <c r="J91" s="243"/>
      <c r="K91" s="247">
        <f t="shared" si="10"/>
        <v>0</v>
      </c>
      <c r="L91" s="205">
        <f t="shared" si="11"/>
        <v>0</v>
      </c>
      <c r="M91" s="206" t="str">
        <f t="shared" si="7"/>
        <v/>
      </c>
      <c r="N91" s="208"/>
      <c r="O91" s="208"/>
      <c r="P91" s="209"/>
    </row>
    <row r="92" spans="1:16" ht="63">
      <c r="A92" s="310">
        <f t="shared" si="12"/>
        <v>8</v>
      </c>
      <c r="B92" s="302" t="s">
        <v>724</v>
      </c>
      <c r="C92" s="331" t="s">
        <v>853</v>
      </c>
      <c r="D92" s="245"/>
      <c r="E92" s="210">
        <v>0.18</v>
      </c>
      <c r="F92" s="246"/>
      <c r="G92" s="314" t="s">
        <v>854</v>
      </c>
      <c r="H92" s="295" t="s">
        <v>359</v>
      </c>
      <c r="I92" s="311">
        <v>25</v>
      </c>
      <c r="J92" s="243"/>
      <c r="K92" s="247">
        <f t="shared" si="10"/>
        <v>0</v>
      </c>
      <c r="L92" s="205">
        <f t="shared" si="11"/>
        <v>0</v>
      </c>
      <c r="M92" s="206" t="str">
        <f t="shared" si="7"/>
        <v/>
      </c>
      <c r="N92" s="208"/>
      <c r="O92" s="208"/>
      <c r="P92" s="209"/>
    </row>
    <row r="93" spans="1:16" ht="60">
      <c r="A93" s="310">
        <f t="shared" si="12"/>
        <v>9</v>
      </c>
      <c r="B93" s="302" t="s">
        <v>727</v>
      </c>
      <c r="C93" s="331" t="s">
        <v>855</v>
      </c>
      <c r="D93" s="245"/>
      <c r="E93" s="210">
        <v>0.18</v>
      </c>
      <c r="F93" s="246"/>
      <c r="G93" s="314" t="s">
        <v>856</v>
      </c>
      <c r="H93" s="295" t="s">
        <v>359</v>
      </c>
      <c r="I93" s="311">
        <v>8</v>
      </c>
      <c r="J93" s="243"/>
      <c r="K93" s="247">
        <f t="shared" si="10"/>
        <v>0</v>
      </c>
      <c r="L93" s="205">
        <f t="shared" si="11"/>
        <v>0</v>
      </c>
      <c r="M93" s="206" t="str">
        <f t="shared" si="7"/>
        <v/>
      </c>
      <c r="N93" s="208"/>
      <c r="O93" s="208"/>
      <c r="P93" s="209"/>
    </row>
    <row r="94" spans="1:16" ht="45">
      <c r="A94" s="310">
        <f t="shared" si="12"/>
        <v>10</v>
      </c>
      <c r="B94" s="302" t="s">
        <v>731</v>
      </c>
      <c r="C94" s="331" t="s">
        <v>857</v>
      </c>
      <c r="D94" s="245"/>
      <c r="E94" s="210">
        <v>0.18</v>
      </c>
      <c r="F94" s="246"/>
      <c r="G94" s="314" t="s">
        <v>858</v>
      </c>
      <c r="H94" s="295" t="s">
        <v>359</v>
      </c>
      <c r="I94" s="311">
        <v>14</v>
      </c>
      <c r="J94" s="243"/>
      <c r="K94" s="247">
        <f t="shared" si="10"/>
        <v>0</v>
      </c>
      <c r="L94" s="205">
        <f t="shared" si="11"/>
        <v>0</v>
      </c>
      <c r="M94" s="206" t="str">
        <f t="shared" si="7"/>
        <v/>
      </c>
      <c r="N94" s="208"/>
      <c r="O94" s="208"/>
      <c r="P94" s="209"/>
    </row>
    <row r="95" spans="1:16" ht="60">
      <c r="A95" s="310">
        <f t="shared" si="12"/>
        <v>11</v>
      </c>
      <c r="B95" s="302" t="s">
        <v>734</v>
      </c>
      <c r="C95" s="331" t="s">
        <v>859</v>
      </c>
      <c r="D95" s="245"/>
      <c r="E95" s="210">
        <v>0.18</v>
      </c>
      <c r="F95" s="246"/>
      <c r="G95" s="314" t="s">
        <v>860</v>
      </c>
      <c r="H95" s="295" t="s">
        <v>359</v>
      </c>
      <c r="I95" s="311">
        <v>12</v>
      </c>
      <c r="J95" s="243"/>
      <c r="K95" s="247">
        <f t="shared" si="10"/>
        <v>0</v>
      </c>
      <c r="L95" s="205">
        <f t="shared" si="11"/>
        <v>0</v>
      </c>
      <c r="M95" s="206" t="str">
        <f t="shared" si="7"/>
        <v/>
      </c>
      <c r="N95" s="208"/>
      <c r="O95" s="208"/>
      <c r="P95" s="209"/>
    </row>
    <row r="96" spans="1:16" ht="60">
      <c r="A96" s="310">
        <f t="shared" si="12"/>
        <v>12</v>
      </c>
      <c r="B96" s="302" t="s">
        <v>737</v>
      </c>
      <c r="C96" s="331" t="s">
        <v>861</v>
      </c>
      <c r="D96" s="245"/>
      <c r="E96" s="210">
        <v>0.18</v>
      </c>
      <c r="F96" s="246"/>
      <c r="G96" s="314" t="s">
        <v>862</v>
      </c>
      <c r="H96" s="295" t="s">
        <v>284</v>
      </c>
      <c r="I96" s="311">
        <v>3</v>
      </c>
      <c r="J96" s="243"/>
      <c r="K96" s="247">
        <f t="shared" si="10"/>
        <v>0</v>
      </c>
      <c r="L96" s="205">
        <f t="shared" si="11"/>
        <v>0</v>
      </c>
      <c r="M96" s="206" t="str">
        <f t="shared" si="7"/>
        <v/>
      </c>
      <c r="N96" s="208"/>
      <c r="O96" s="208"/>
      <c r="P96" s="209"/>
    </row>
    <row r="97" spans="1:16" ht="78.75">
      <c r="A97" s="310">
        <f t="shared" si="12"/>
        <v>13</v>
      </c>
      <c r="B97" s="302" t="s">
        <v>740</v>
      </c>
      <c r="C97" s="331" t="s">
        <v>863</v>
      </c>
      <c r="D97" s="245"/>
      <c r="E97" s="210">
        <v>0.18</v>
      </c>
      <c r="F97" s="246"/>
      <c r="G97" s="314" t="s">
        <v>864</v>
      </c>
      <c r="H97" s="295" t="s">
        <v>359</v>
      </c>
      <c r="I97" s="311">
        <v>105</v>
      </c>
      <c r="J97" s="243"/>
      <c r="K97" s="247">
        <f t="shared" si="10"/>
        <v>0</v>
      </c>
      <c r="L97" s="205">
        <f t="shared" si="11"/>
        <v>0</v>
      </c>
      <c r="M97" s="206" t="str">
        <f t="shared" si="7"/>
        <v/>
      </c>
      <c r="N97" s="208"/>
      <c r="O97" s="208"/>
      <c r="P97" s="209"/>
    </row>
    <row r="98" spans="1:16" ht="78.75">
      <c r="A98" s="310">
        <f t="shared" si="12"/>
        <v>14</v>
      </c>
      <c r="B98" s="302" t="s">
        <v>743</v>
      </c>
      <c r="C98" s="331" t="s">
        <v>865</v>
      </c>
      <c r="D98" s="245"/>
      <c r="E98" s="210">
        <v>0.18</v>
      </c>
      <c r="F98" s="246"/>
      <c r="G98" s="314" t="s">
        <v>866</v>
      </c>
      <c r="H98" s="295" t="s">
        <v>359</v>
      </c>
      <c r="I98" s="311">
        <v>100</v>
      </c>
      <c r="J98" s="243"/>
      <c r="K98" s="247">
        <f t="shared" si="10"/>
        <v>0</v>
      </c>
      <c r="L98" s="205">
        <f t="shared" si="11"/>
        <v>0</v>
      </c>
      <c r="M98" s="206" t="str">
        <f t="shared" si="7"/>
        <v/>
      </c>
      <c r="N98" s="208"/>
      <c r="O98" s="208"/>
      <c r="P98" s="209"/>
    </row>
    <row r="99" spans="1:16" ht="78.75">
      <c r="A99" s="310">
        <f t="shared" si="12"/>
        <v>15</v>
      </c>
      <c r="B99" s="302" t="s">
        <v>746</v>
      </c>
      <c r="C99" s="331" t="s">
        <v>867</v>
      </c>
      <c r="D99" s="245"/>
      <c r="E99" s="210">
        <v>0.18</v>
      </c>
      <c r="F99" s="246"/>
      <c r="G99" s="314" t="s">
        <v>868</v>
      </c>
      <c r="H99" s="295" t="s">
        <v>359</v>
      </c>
      <c r="I99" s="311">
        <v>74</v>
      </c>
      <c r="J99" s="243"/>
      <c r="K99" s="247">
        <f t="shared" si="10"/>
        <v>0</v>
      </c>
      <c r="L99" s="205">
        <f t="shared" si="11"/>
        <v>0</v>
      </c>
      <c r="M99" s="206" t="str">
        <f t="shared" si="7"/>
        <v/>
      </c>
      <c r="N99" s="208"/>
      <c r="O99" s="208"/>
      <c r="P99" s="209"/>
    </row>
    <row r="100" spans="1:16" ht="78.75">
      <c r="A100" s="310">
        <f t="shared" si="12"/>
        <v>16</v>
      </c>
      <c r="B100" s="302" t="s">
        <v>749</v>
      </c>
      <c r="C100" s="331" t="s">
        <v>869</v>
      </c>
      <c r="D100" s="245"/>
      <c r="E100" s="210">
        <v>0.18</v>
      </c>
      <c r="F100" s="246"/>
      <c r="G100" s="314" t="s">
        <v>870</v>
      </c>
      <c r="H100" s="295" t="s">
        <v>359</v>
      </c>
      <c r="I100" s="311">
        <v>630</v>
      </c>
      <c r="J100" s="243"/>
      <c r="K100" s="247">
        <f t="shared" si="10"/>
        <v>0</v>
      </c>
      <c r="L100" s="205">
        <f t="shared" si="11"/>
        <v>0</v>
      </c>
      <c r="M100" s="206" t="str">
        <f t="shared" si="7"/>
        <v/>
      </c>
      <c r="N100" s="208"/>
      <c r="O100" s="208"/>
      <c r="P100" s="209"/>
    </row>
    <row r="101" spans="1:16" ht="75">
      <c r="A101" s="310">
        <f t="shared" si="12"/>
        <v>17</v>
      </c>
      <c r="B101" s="302" t="s">
        <v>752</v>
      </c>
      <c r="C101" s="331" t="s">
        <v>871</v>
      </c>
      <c r="D101" s="245"/>
      <c r="E101" s="210">
        <v>0.18</v>
      </c>
      <c r="F101" s="246"/>
      <c r="G101" s="314" t="s">
        <v>872</v>
      </c>
      <c r="H101" s="295" t="s">
        <v>359</v>
      </c>
      <c r="I101" s="311">
        <v>13</v>
      </c>
      <c r="J101" s="243"/>
      <c r="K101" s="247">
        <f t="shared" si="10"/>
        <v>0</v>
      </c>
      <c r="L101" s="205">
        <f t="shared" si="11"/>
        <v>0</v>
      </c>
      <c r="M101" s="206" t="str">
        <f t="shared" si="7"/>
        <v/>
      </c>
      <c r="N101" s="208"/>
      <c r="O101" s="208"/>
      <c r="P101" s="209"/>
    </row>
    <row r="102" spans="1:16" ht="60">
      <c r="A102" s="310">
        <f t="shared" si="12"/>
        <v>18</v>
      </c>
      <c r="B102" s="302" t="s">
        <v>755</v>
      </c>
      <c r="C102" s="331" t="s">
        <v>873</v>
      </c>
      <c r="D102" s="245"/>
      <c r="E102" s="210">
        <v>0.18</v>
      </c>
      <c r="F102" s="246"/>
      <c r="G102" s="314" t="s">
        <v>874</v>
      </c>
      <c r="H102" s="295" t="s">
        <v>359</v>
      </c>
      <c r="I102" s="311">
        <v>14</v>
      </c>
      <c r="J102" s="243"/>
      <c r="K102" s="247">
        <f t="shared" si="10"/>
        <v>0</v>
      </c>
      <c r="L102" s="205">
        <f t="shared" si="11"/>
        <v>0</v>
      </c>
      <c r="M102" s="206" t="str">
        <f t="shared" si="7"/>
        <v/>
      </c>
      <c r="N102" s="208"/>
      <c r="O102" s="208"/>
      <c r="P102" s="209"/>
    </row>
    <row r="103" spans="1:16" ht="47.25">
      <c r="A103" s="310">
        <f t="shared" si="12"/>
        <v>19</v>
      </c>
      <c r="B103" s="302" t="s">
        <v>758</v>
      </c>
      <c r="C103" s="331" t="s">
        <v>875</v>
      </c>
      <c r="D103" s="245"/>
      <c r="E103" s="210">
        <v>0.18</v>
      </c>
      <c r="F103" s="246"/>
      <c r="G103" s="314" t="s">
        <v>876</v>
      </c>
      <c r="H103" s="295" t="s">
        <v>284</v>
      </c>
      <c r="I103" s="311">
        <v>710</v>
      </c>
      <c r="J103" s="243"/>
      <c r="K103" s="247">
        <f t="shared" si="10"/>
        <v>0</v>
      </c>
      <c r="L103" s="205">
        <f t="shared" si="11"/>
        <v>0</v>
      </c>
      <c r="M103" s="206" t="str">
        <f t="shared" si="7"/>
        <v/>
      </c>
      <c r="N103" s="208"/>
      <c r="O103" s="208"/>
      <c r="P103" s="209"/>
    </row>
    <row r="104" spans="1:16" ht="47.25">
      <c r="A104" s="310">
        <f t="shared" si="12"/>
        <v>20</v>
      </c>
      <c r="B104" s="302" t="s">
        <v>761</v>
      </c>
      <c r="C104" s="331" t="s">
        <v>877</v>
      </c>
      <c r="D104" s="245"/>
      <c r="E104" s="210">
        <v>0.18</v>
      </c>
      <c r="F104" s="246"/>
      <c r="G104" s="314" t="s">
        <v>878</v>
      </c>
      <c r="H104" s="295" t="s">
        <v>359</v>
      </c>
      <c r="I104" s="311">
        <v>300</v>
      </c>
      <c r="J104" s="243"/>
      <c r="K104" s="247">
        <f t="shared" si="10"/>
        <v>0</v>
      </c>
      <c r="L104" s="205">
        <f t="shared" si="11"/>
        <v>0</v>
      </c>
      <c r="M104" s="206" t="str">
        <f t="shared" si="7"/>
        <v/>
      </c>
      <c r="N104" s="208"/>
      <c r="O104" s="208"/>
      <c r="P104" s="209"/>
    </row>
    <row r="105" spans="1:16" ht="75">
      <c r="A105" s="310">
        <f t="shared" si="12"/>
        <v>21</v>
      </c>
      <c r="B105" s="302" t="s">
        <v>764</v>
      </c>
      <c r="C105" s="331" t="s">
        <v>879</v>
      </c>
      <c r="D105" s="245"/>
      <c r="E105" s="210">
        <v>0.18</v>
      </c>
      <c r="F105" s="246"/>
      <c r="G105" s="314" t="s">
        <v>880</v>
      </c>
      <c r="H105" s="295" t="s">
        <v>359</v>
      </c>
      <c r="I105" s="311">
        <v>9</v>
      </c>
      <c r="J105" s="243"/>
      <c r="K105" s="247">
        <f t="shared" si="10"/>
        <v>0</v>
      </c>
      <c r="L105" s="205">
        <f t="shared" si="11"/>
        <v>0</v>
      </c>
      <c r="M105" s="206" t="str">
        <f t="shared" si="7"/>
        <v/>
      </c>
      <c r="N105" s="208"/>
      <c r="O105" s="208"/>
      <c r="P105" s="209"/>
    </row>
    <row r="106" spans="1:16" ht="31.5">
      <c r="A106" s="310">
        <f t="shared" si="12"/>
        <v>22</v>
      </c>
      <c r="B106" s="302" t="s">
        <v>767</v>
      </c>
      <c r="C106" s="331" t="s">
        <v>881</v>
      </c>
      <c r="D106" s="245"/>
      <c r="E106" s="210">
        <v>0.18</v>
      </c>
      <c r="F106" s="246"/>
      <c r="G106" s="314" t="s">
        <v>882</v>
      </c>
      <c r="H106" s="295" t="s">
        <v>284</v>
      </c>
      <c r="I106" s="311">
        <v>1</v>
      </c>
      <c r="J106" s="243"/>
      <c r="K106" s="247">
        <f t="shared" si="10"/>
        <v>0</v>
      </c>
      <c r="L106" s="205">
        <f t="shared" si="11"/>
        <v>0</v>
      </c>
      <c r="M106" s="206" t="str">
        <f t="shared" si="7"/>
        <v/>
      </c>
      <c r="N106" s="208"/>
      <c r="O106" s="208"/>
      <c r="P106" s="209"/>
    </row>
    <row r="107" spans="1:16" ht="16.5">
      <c r="A107" s="224"/>
      <c r="B107" s="225"/>
      <c r="C107" s="226"/>
      <c r="D107" s="226"/>
      <c r="E107" s="227"/>
      <c r="F107" s="228"/>
      <c r="G107" s="313" t="s">
        <v>883</v>
      </c>
      <c r="H107" s="229"/>
      <c r="I107" s="230"/>
      <c r="J107" s="231"/>
      <c r="K107" s="250">
        <f>SUM(K85:K106)</f>
        <v>0</v>
      </c>
      <c r="L107" s="250">
        <f>SUM(L85:L106)</f>
        <v>0</v>
      </c>
      <c r="M107" s="206"/>
      <c r="N107" s="208"/>
      <c r="O107" s="208"/>
      <c r="P107" s="209"/>
    </row>
    <row r="108" spans="1:16" ht="16.5">
      <c r="A108" s="251" t="s">
        <v>837</v>
      </c>
      <c r="B108" s="252"/>
      <c r="C108" s="253"/>
      <c r="D108" s="253"/>
      <c r="E108" s="253"/>
      <c r="F108" s="254"/>
      <c r="G108" s="315" t="s">
        <v>884</v>
      </c>
      <c r="H108" s="255"/>
      <c r="I108" s="256"/>
      <c r="J108" s="243"/>
      <c r="K108" s="247"/>
      <c r="L108" s="205"/>
      <c r="M108" s="206"/>
      <c r="N108" s="208"/>
      <c r="O108" s="208"/>
      <c r="P108" s="209"/>
    </row>
    <row r="109" spans="1:16" ht="63">
      <c r="A109" s="310">
        <v>1</v>
      </c>
      <c r="B109" s="355" t="s">
        <v>703</v>
      </c>
      <c r="C109" s="356" t="s">
        <v>885</v>
      </c>
      <c r="D109" s="245"/>
      <c r="E109" s="210">
        <v>0.18</v>
      </c>
      <c r="F109" s="246"/>
      <c r="G109" s="357" t="s">
        <v>886</v>
      </c>
      <c r="H109" s="358" t="s">
        <v>359</v>
      </c>
      <c r="I109" s="311">
        <v>17</v>
      </c>
      <c r="J109" s="243"/>
      <c r="K109" s="247">
        <f t="shared" ref="K109:K138" si="13">ROUND(J109*I109,2)</f>
        <v>0</v>
      </c>
      <c r="L109" s="205">
        <f t="shared" ref="L109:L138" si="14">ROUND(K109*E109,2)</f>
        <v>0</v>
      </c>
      <c r="M109" s="206" t="str">
        <f t="shared" si="7"/>
        <v/>
      </c>
      <c r="N109" s="208"/>
      <c r="O109" s="208"/>
      <c r="P109" s="209"/>
    </row>
    <row r="110" spans="1:16" ht="47.25">
      <c r="A110" s="310">
        <v>2</v>
      </c>
      <c r="B110" s="355" t="s">
        <v>706</v>
      </c>
      <c r="C110" s="356" t="s">
        <v>887</v>
      </c>
      <c r="D110" s="245"/>
      <c r="E110" s="210">
        <v>0.18</v>
      </c>
      <c r="F110" s="246"/>
      <c r="G110" s="357" t="s">
        <v>842</v>
      </c>
      <c r="H110" s="358" t="s">
        <v>359</v>
      </c>
      <c r="I110" s="311">
        <v>18</v>
      </c>
      <c r="J110" s="243"/>
      <c r="K110" s="247">
        <f t="shared" si="13"/>
        <v>0</v>
      </c>
      <c r="L110" s="205">
        <f t="shared" si="14"/>
        <v>0</v>
      </c>
      <c r="M110" s="206" t="str">
        <f t="shared" si="7"/>
        <v/>
      </c>
      <c r="N110" s="208"/>
      <c r="O110" s="208"/>
      <c r="P110" s="209"/>
    </row>
    <row r="111" spans="1:16" ht="63">
      <c r="A111" s="310">
        <v>3</v>
      </c>
      <c r="B111" s="355" t="s">
        <v>709</v>
      </c>
      <c r="C111" s="356" t="s">
        <v>888</v>
      </c>
      <c r="D111" s="245"/>
      <c r="E111" s="210">
        <v>0.18</v>
      </c>
      <c r="F111" s="246"/>
      <c r="G111" s="357" t="s">
        <v>889</v>
      </c>
      <c r="H111" s="358" t="s">
        <v>359</v>
      </c>
      <c r="I111" s="311">
        <v>21</v>
      </c>
      <c r="J111" s="243"/>
      <c r="K111" s="247">
        <f t="shared" si="13"/>
        <v>0</v>
      </c>
      <c r="L111" s="205">
        <f t="shared" si="14"/>
        <v>0</v>
      </c>
      <c r="M111" s="206" t="str">
        <f t="shared" si="7"/>
        <v/>
      </c>
      <c r="N111" s="208"/>
      <c r="O111" s="208"/>
      <c r="P111" s="209"/>
    </row>
    <row r="112" spans="1:16" ht="63">
      <c r="A112" s="310">
        <v>4</v>
      </c>
      <c r="B112" s="355" t="s">
        <v>712</v>
      </c>
      <c r="C112" s="356" t="s">
        <v>890</v>
      </c>
      <c r="D112" s="245"/>
      <c r="E112" s="210">
        <v>0.18</v>
      </c>
      <c r="F112" s="246"/>
      <c r="G112" s="357" t="s">
        <v>846</v>
      </c>
      <c r="H112" s="358" t="s">
        <v>359</v>
      </c>
      <c r="I112" s="311">
        <v>116</v>
      </c>
      <c r="J112" s="243"/>
      <c r="K112" s="247">
        <f t="shared" si="13"/>
        <v>0</v>
      </c>
      <c r="L112" s="205">
        <f t="shared" si="14"/>
        <v>0</v>
      </c>
      <c r="M112" s="206" t="str">
        <f t="shared" si="7"/>
        <v/>
      </c>
      <c r="N112" s="208"/>
      <c r="O112" s="208"/>
      <c r="P112" s="209"/>
    </row>
    <row r="113" spans="1:16" ht="47.25">
      <c r="A113" s="310">
        <v>5</v>
      </c>
      <c r="B113" s="355" t="s">
        <v>715</v>
      </c>
      <c r="C113" s="356" t="s">
        <v>847</v>
      </c>
      <c r="D113" s="245"/>
      <c r="E113" s="210">
        <v>0.18</v>
      </c>
      <c r="F113" s="246"/>
      <c r="G113" s="357" t="s">
        <v>848</v>
      </c>
      <c r="H113" s="358" t="s">
        <v>359</v>
      </c>
      <c r="I113" s="311">
        <v>16</v>
      </c>
      <c r="J113" s="243"/>
      <c r="K113" s="247">
        <f t="shared" si="13"/>
        <v>0</v>
      </c>
      <c r="L113" s="205">
        <f t="shared" si="14"/>
        <v>0</v>
      </c>
      <c r="M113" s="206" t="str">
        <f t="shared" si="7"/>
        <v/>
      </c>
      <c r="N113" s="208"/>
      <c r="O113" s="208"/>
      <c r="P113" s="209"/>
    </row>
    <row r="114" spans="1:16" ht="31.5">
      <c r="A114" s="310">
        <v>6</v>
      </c>
      <c r="B114" s="355" t="s">
        <v>718</v>
      </c>
      <c r="C114" s="356" t="s">
        <v>891</v>
      </c>
      <c r="D114" s="245"/>
      <c r="E114" s="210">
        <v>0.18</v>
      </c>
      <c r="F114" s="246"/>
      <c r="G114" s="357" t="s">
        <v>850</v>
      </c>
      <c r="H114" s="358" t="s">
        <v>284</v>
      </c>
      <c r="I114" s="311">
        <v>215</v>
      </c>
      <c r="J114" s="243"/>
      <c r="K114" s="247">
        <f t="shared" si="13"/>
        <v>0</v>
      </c>
      <c r="L114" s="205">
        <f t="shared" si="14"/>
        <v>0</v>
      </c>
      <c r="M114" s="206" t="str">
        <f t="shared" si="7"/>
        <v/>
      </c>
      <c r="N114" s="208"/>
      <c r="O114" s="208"/>
      <c r="P114" s="209"/>
    </row>
    <row r="115" spans="1:16" ht="47.25">
      <c r="A115" s="310">
        <v>7</v>
      </c>
      <c r="B115" s="355" t="s">
        <v>721</v>
      </c>
      <c r="C115" s="356" t="s">
        <v>892</v>
      </c>
      <c r="D115" s="245"/>
      <c r="E115" s="210">
        <v>0.18</v>
      </c>
      <c r="F115" s="246"/>
      <c r="G115" s="357" t="s">
        <v>893</v>
      </c>
      <c r="H115" s="358" t="s">
        <v>359</v>
      </c>
      <c r="I115" s="311">
        <v>5</v>
      </c>
      <c r="J115" s="243"/>
      <c r="K115" s="247">
        <f t="shared" si="13"/>
        <v>0</v>
      </c>
      <c r="L115" s="205">
        <f t="shared" si="14"/>
        <v>0</v>
      </c>
      <c r="M115" s="206" t="str">
        <f t="shared" si="7"/>
        <v/>
      </c>
      <c r="N115" s="208"/>
      <c r="O115" s="208"/>
      <c r="P115" s="209"/>
    </row>
    <row r="116" spans="1:16" ht="47.25">
      <c r="A116" s="310">
        <v>8</v>
      </c>
      <c r="B116" s="355" t="s">
        <v>724</v>
      </c>
      <c r="C116" s="356" t="s">
        <v>894</v>
      </c>
      <c r="D116" s="245"/>
      <c r="E116" s="210">
        <v>0.18</v>
      </c>
      <c r="F116" s="246"/>
      <c r="G116" s="357" t="s">
        <v>895</v>
      </c>
      <c r="H116" s="358" t="s">
        <v>359</v>
      </c>
      <c r="I116" s="311">
        <v>13</v>
      </c>
      <c r="J116" s="243"/>
      <c r="K116" s="247">
        <f t="shared" si="13"/>
        <v>0</v>
      </c>
      <c r="L116" s="205">
        <f t="shared" si="14"/>
        <v>0</v>
      </c>
      <c r="M116" s="206" t="str">
        <f t="shared" si="7"/>
        <v/>
      </c>
      <c r="N116" s="208"/>
      <c r="O116" s="208"/>
      <c r="P116" s="209"/>
    </row>
    <row r="117" spans="1:16" ht="47.25">
      <c r="A117" s="310">
        <v>9</v>
      </c>
      <c r="B117" s="355" t="s">
        <v>727</v>
      </c>
      <c r="C117" s="356" t="s">
        <v>896</v>
      </c>
      <c r="D117" s="245"/>
      <c r="E117" s="210">
        <v>0.18</v>
      </c>
      <c r="F117" s="246"/>
      <c r="G117" s="357" t="s">
        <v>856</v>
      </c>
      <c r="H117" s="358" t="s">
        <v>359</v>
      </c>
      <c r="I117" s="311">
        <v>9</v>
      </c>
      <c r="J117" s="243"/>
      <c r="K117" s="247">
        <f t="shared" si="13"/>
        <v>0</v>
      </c>
      <c r="L117" s="205">
        <f t="shared" si="14"/>
        <v>0</v>
      </c>
      <c r="M117" s="206" t="str">
        <f t="shared" si="7"/>
        <v/>
      </c>
      <c r="N117" s="208"/>
      <c r="O117" s="208"/>
      <c r="P117" s="209"/>
    </row>
    <row r="118" spans="1:16" ht="47.25">
      <c r="A118" s="310">
        <v>10</v>
      </c>
      <c r="B118" s="355" t="s">
        <v>731</v>
      </c>
      <c r="C118" s="356" t="s">
        <v>855</v>
      </c>
      <c r="D118" s="245"/>
      <c r="E118" s="210">
        <v>0.18</v>
      </c>
      <c r="F118" s="246"/>
      <c r="G118" s="357" t="s">
        <v>897</v>
      </c>
      <c r="H118" s="358" t="s">
        <v>359</v>
      </c>
      <c r="I118" s="311">
        <v>1</v>
      </c>
      <c r="J118" s="243"/>
      <c r="K118" s="247">
        <f t="shared" si="13"/>
        <v>0</v>
      </c>
      <c r="L118" s="205">
        <f t="shared" si="14"/>
        <v>0</v>
      </c>
      <c r="M118" s="206" t="str">
        <f t="shared" si="7"/>
        <v/>
      </c>
      <c r="N118" s="208"/>
      <c r="O118" s="208"/>
      <c r="P118" s="209"/>
    </row>
    <row r="119" spans="1:16" ht="63">
      <c r="A119" s="310">
        <v>11</v>
      </c>
      <c r="B119" s="355" t="s">
        <v>734</v>
      </c>
      <c r="C119" s="356" t="s">
        <v>898</v>
      </c>
      <c r="D119" s="245"/>
      <c r="E119" s="210">
        <v>0.18</v>
      </c>
      <c r="F119" s="246"/>
      <c r="G119" s="357" t="s">
        <v>899</v>
      </c>
      <c r="H119" s="358" t="s">
        <v>359</v>
      </c>
      <c r="I119" s="311">
        <v>9</v>
      </c>
      <c r="J119" s="243"/>
      <c r="K119" s="247">
        <f t="shared" si="13"/>
        <v>0</v>
      </c>
      <c r="L119" s="205">
        <f t="shared" si="14"/>
        <v>0</v>
      </c>
      <c r="M119" s="206" t="str">
        <f t="shared" si="7"/>
        <v/>
      </c>
      <c r="N119" s="208"/>
      <c r="O119" s="208"/>
      <c r="P119" s="209"/>
    </row>
    <row r="120" spans="1:16" ht="63">
      <c r="A120" s="310">
        <v>12</v>
      </c>
      <c r="B120" s="355" t="s">
        <v>737</v>
      </c>
      <c r="C120" s="356" t="s">
        <v>900</v>
      </c>
      <c r="D120" s="245"/>
      <c r="E120" s="210">
        <v>0.18</v>
      </c>
      <c r="F120" s="246"/>
      <c r="G120" s="345" t="s">
        <v>901</v>
      </c>
      <c r="H120" s="348" t="s">
        <v>284</v>
      </c>
      <c r="I120" s="311">
        <v>84</v>
      </c>
      <c r="J120" s="243"/>
      <c r="K120" s="247">
        <f t="shared" si="13"/>
        <v>0</v>
      </c>
      <c r="L120" s="205">
        <f t="shared" si="14"/>
        <v>0</v>
      </c>
      <c r="M120" s="206" t="str">
        <f t="shared" si="7"/>
        <v/>
      </c>
      <c r="N120" s="208"/>
      <c r="O120" s="208"/>
      <c r="P120" s="209"/>
    </row>
    <row r="121" spans="1:16" ht="78.75">
      <c r="A121" s="310">
        <v>13</v>
      </c>
      <c r="B121" s="355" t="s">
        <v>740</v>
      </c>
      <c r="C121" s="356" t="s">
        <v>902</v>
      </c>
      <c r="D121" s="245"/>
      <c r="E121" s="210">
        <v>0.18</v>
      </c>
      <c r="F121" s="246"/>
      <c r="G121" s="357" t="s">
        <v>903</v>
      </c>
      <c r="H121" s="358" t="s">
        <v>359</v>
      </c>
      <c r="I121" s="311">
        <v>1</v>
      </c>
      <c r="J121" s="243"/>
      <c r="K121" s="247">
        <f t="shared" si="13"/>
        <v>0</v>
      </c>
      <c r="L121" s="205">
        <f t="shared" si="14"/>
        <v>0</v>
      </c>
      <c r="M121" s="206" t="str">
        <f t="shared" si="7"/>
        <v/>
      </c>
      <c r="N121" s="208"/>
      <c r="O121" s="208"/>
      <c r="P121" s="209"/>
    </row>
    <row r="122" spans="1:16" ht="31.5">
      <c r="A122" s="310">
        <v>14</v>
      </c>
      <c r="B122" s="355" t="s">
        <v>743</v>
      </c>
      <c r="C122" s="356" t="s">
        <v>904</v>
      </c>
      <c r="D122" s="245"/>
      <c r="E122" s="210">
        <v>0.18</v>
      </c>
      <c r="F122" s="246"/>
      <c r="G122" s="359" t="s">
        <v>905</v>
      </c>
      <c r="H122" s="347" t="s">
        <v>359</v>
      </c>
      <c r="I122" s="311">
        <v>1</v>
      </c>
      <c r="J122" s="243"/>
      <c r="K122" s="247">
        <f t="shared" si="13"/>
        <v>0</v>
      </c>
      <c r="L122" s="205">
        <f t="shared" si="14"/>
        <v>0</v>
      </c>
      <c r="M122" s="206" t="str">
        <f t="shared" si="7"/>
        <v/>
      </c>
      <c r="N122" s="208"/>
      <c r="O122" s="208"/>
      <c r="P122" s="209"/>
    </row>
    <row r="123" spans="1:16" ht="78.75">
      <c r="A123" s="310">
        <v>15</v>
      </c>
      <c r="B123" s="355" t="s">
        <v>746</v>
      </c>
      <c r="C123" s="356" t="s">
        <v>906</v>
      </c>
      <c r="D123" s="245"/>
      <c r="E123" s="210">
        <v>0.18</v>
      </c>
      <c r="F123" s="246"/>
      <c r="G123" s="357" t="s">
        <v>907</v>
      </c>
      <c r="H123" s="358" t="s">
        <v>359</v>
      </c>
      <c r="I123" s="311">
        <v>1</v>
      </c>
      <c r="J123" s="243"/>
      <c r="K123" s="247">
        <f t="shared" si="13"/>
        <v>0</v>
      </c>
      <c r="L123" s="205">
        <f t="shared" si="14"/>
        <v>0</v>
      </c>
      <c r="M123" s="206" t="str">
        <f t="shared" si="7"/>
        <v/>
      </c>
      <c r="N123" s="208"/>
      <c r="O123" s="208"/>
      <c r="P123" s="209"/>
    </row>
    <row r="124" spans="1:16" ht="47.25">
      <c r="A124" s="310">
        <v>16</v>
      </c>
      <c r="B124" s="355" t="s">
        <v>749</v>
      </c>
      <c r="C124" s="356" t="s">
        <v>908</v>
      </c>
      <c r="D124" s="245"/>
      <c r="E124" s="210">
        <v>0.18</v>
      </c>
      <c r="F124" s="246"/>
      <c r="G124" s="357" t="s">
        <v>909</v>
      </c>
      <c r="H124" s="358" t="s">
        <v>359</v>
      </c>
      <c r="I124" s="311">
        <v>14</v>
      </c>
      <c r="J124" s="243"/>
      <c r="K124" s="247">
        <f t="shared" si="13"/>
        <v>0</v>
      </c>
      <c r="L124" s="205">
        <f t="shared" si="14"/>
        <v>0</v>
      </c>
      <c r="M124" s="206" t="str">
        <f t="shared" si="7"/>
        <v/>
      </c>
      <c r="N124" s="208"/>
      <c r="O124" s="208"/>
      <c r="P124" s="209"/>
    </row>
    <row r="125" spans="1:16" ht="63">
      <c r="A125" s="310">
        <v>17</v>
      </c>
      <c r="B125" s="355" t="s">
        <v>752</v>
      </c>
      <c r="C125" s="356" t="s">
        <v>910</v>
      </c>
      <c r="D125" s="245"/>
      <c r="E125" s="210">
        <v>0.18</v>
      </c>
      <c r="F125" s="246"/>
      <c r="G125" s="357" t="s">
        <v>911</v>
      </c>
      <c r="H125" s="358" t="s">
        <v>359</v>
      </c>
      <c r="I125" s="311">
        <v>1</v>
      </c>
      <c r="J125" s="243"/>
      <c r="K125" s="247">
        <f t="shared" si="13"/>
        <v>0</v>
      </c>
      <c r="L125" s="205">
        <f t="shared" si="14"/>
        <v>0</v>
      </c>
      <c r="M125" s="206" t="str">
        <f t="shared" si="7"/>
        <v/>
      </c>
      <c r="N125" s="208"/>
      <c r="O125" s="208"/>
      <c r="P125" s="209"/>
    </row>
    <row r="126" spans="1:16" ht="47.25">
      <c r="A126" s="310">
        <v>18</v>
      </c>
      <c r="B126" s="355" t="s">
        <v>755</v>
      </c>
      <c r="C126" s="356" t="s">
        <v>912</v>
      </c>
      <c r="D126" s="245"/>
      <c r="E126" s="210">
        <v>0.18</v>
      </c>
      <c r="F126" s="246"/>
      <c r="G126" s="357" t="s">
        <v>913</v>
      </c>
      <c r="H126" s="358" t="s">
        <v>359</v>
      </c>
      <c r="I126" s="311">
        <v>1</v>
      </c>
      <c r="J126" s="243"/>
      <c r="K126" s="247">
        <f t="shared" si="13"/>
        <v>0</v>
      </c>
      <c r="L126" s="205">
        <f t="shared" si="14"/>
        <v>0</v>
      </c>
      <c r="M126" s="206" t="str">
        <f t="shared" si="7"/>
        <v/>
      </c>
      <c r="N126" s="208"/>
      <c r="O126" s="208"/>
      <c r="P126" s="209"/>
    </row>
    <row r="127" spans="1:16" ht="47.25">
      <c r="A127" s="310">
        <v>19</v>
      </c>
      <c r="B127" s="355" t="s">
        <v>758</v>
      </c>
      <c r="C127" s="356" t="s">
        <v>914</v>
      </c>
      <c r="D127" s="245"/>
      <c r="E127" s="210">
        <v>0.18</v>
      </c>
      <c r="F127" s="246"/>
      <c r="G127" s="357" t="s">
        <v>915</v>
      </c>
      <c r="H127" s="358" t="s">
        <v>284</v>
      </c>
      <c r="I127" s="311">
        <v>126</v>
      </c>
      <c r="J127" s="243"/>
      <c r="K127" s="247">
        <f t="shared" si="13"/>
        <v>0</v>
      </c>
      <c r="L127" s="205">
        <f t="shared" si="14"/>
        <v>0</v>
      </c>
      <c r="M127" s="206" t="str">
        <f t="shared" si="7"/>
        <v/>
      </c>
      <c r="N127" s="208"/>
      <c r="O127" s="208"/>
      <c r="P127" s="209"/>
    </row>
    <row r="128" spans="1:16" ht="47.25">
      <c r="A128" s="310">
        <v>20</v>
      </c>
      <c r="B128" s="355" t="s">
        <v>761</v>
      </c>
      <c r="C128" s="356" t="s">
        <v>916</v>
      </c>
      <c r="D128" s="245"/>
      <c r="E128" s="210">
        <v>0.18</v>
      </c>
      <c r="F128" s="246"/>
      <c r="G128" s="345" t="s">
        <v>917</v>
      </c>
      <c r="H128" s="347" t="s">
        <v>359</v>
      </c>
      <c r="I128" s="311">
        <v>12</v>
      </c>
      <c r="J128" s="243"/>
      <c r="K128" s="247">
        <f t="shared" si="13"/>
        <v>0</v>
      </c>
      <c r="L128" s="205">
        <f t="shared" si="14"/>
        <v>0</v>
      </c>
      <c r="M128" s="206" t="str">
        <f t="shared" si="7"/>
        <v/>
      </c>
      <c r="N128" s="208"/>
      <c r="O128" s="208"/>
      <c r="P128" s="209"/>
    </row>
    <row r="129" spans="1:16" ht="63">
      <c r="A129" s="310">
        <v>21</v>
      </c>
      <c r="B129" s="355" t="s">
        <v>764</v>
      </c>
      <c r="C129" s="356" t="s">
        <v>918</v>
      </c>
      <c r="D129" s="245"/>
      <c r="E129" s="210">
        <v>0.18</v>
      </c>
      <c r="F129" s="246"/>
      <c r="G129" s="357" t="s">
        <v>862</v>
      </c>
      <c r="H129" s="358" t="s">
        <v>359</v>
      </c>
      <c r="I129" s="311">
        <v>2</v>
      </c>
      <c r="J129" s="243"/>
      <c r="K129" s="247">
        <f t="shared" si="13"/>
        <v>0</v>
      </c>
      <c r="L129" s="205">
        <f t="shared" si="14"/>
        <v>0</v>
      </c>
      <c r="M129" s="206" t="str">
        <f t="shared" si="7"/>
        <v/>
      </c>
      <c r="N129" s="208"/>
      <c r="O129" s="208"/>
      <c r="P129" s="209"/>
    </row>
    <row r="130" spans="1:16" ht="47.25">
      <c r="A130" s="310">
        <v>22</v>
      </c>
      <c r="B130" s="355" t="s">
        <v>767</v>
      </c>
      <c r="C130" s="356" t="s">
        <v>919</v>
      </c>
      <c r="D130" s="245"/>
      <c r="E130" s="210">
        <v>0.18</v>
      </c>
      <c r="F130" s="246"/>
      <c r="G130" s="345" t="s">
        <v>920</v>
      </c>
      <c r="H130" s="348" t="s">
        <v>284</v>
      </c>
      <c r="I130" s="311">
        <v>100</v>
      </c>
      <c r="J130" s="243"/>
      <c r="K130" s="247">
        <f t="shared" si="13"/>
        <v>0</v>
      </c>
      <c r="L130" s="205">
        <f t="shared" si="14"/>
        <v>0</v>
      </c>
      <c r="M130" s="206" t="str">
        <f t="shared" si="7"/>
        <v/>
      </c>
      <c r="N130" s="208"/>
      <c r="O130" s="208"/>
      <c r="P130" s="209"/>
    </row>
    <row r="131" spans="1:16" ht="63">
      <c r="A131" s="310">
        <v>23</v>
      </c>
      <c r="B131" s="355" t="s">
        <v>771</v>
      </c>
      <c r="C131" s="356" t="s">
        <v>871</v>
      </c>
      <c r="D131" s="245"/>
      <c r="E131" s="210">
        <v>0.18</v>
      </c>
      <c r="F131" s="246"/>
      <c r="G131" s="357" t="s">
        <v>872</v>
      </c>
      <c r="H131" s="358" t="s">
        <v>359</v>
      </c>
      <c r="I131" s="311">
        <v>1</v>
      </c>
      <c r="J131" s="243"/>
      <c r="K131" s="247">
        <f t="shared" si="13"/>
        <v>0</v>
      </c>
      <c r="L131" s="205">
        <f t="shared" si="14"/>
        <v>0</v>
      </c>
      <c r="M131" s="206" t="str">
        <f t="shared" si="7"/>
        <v/>
      </c>
      <c r="N131" s="208"/>
      <c r="O131" s="208"/>
      <c r="P131" s="209"/>
    </row>
    <row r="132" spans="1:16" ht="63">
      <c r="A132" s="310">
        <v>24</v>
      </c>
      <c r="B132" s="355" t="s">
        <v>774</v>
      </c>
      <c r="C132" s="356" t="s">
        <v>921</v>
      </c>
      <c r="D132" s="245"/>
      <c r="E132" s="210">
        <v>0.18</v>
      </c>
      <c r="F132" s="246"/>
      <c r="G132" s="360" t="s">
        <v>922</v>
      </c>
      <c r="H132" s="347" t="s">
        <v>359</v>
      </c>
      <c r="I132" s="311">
        <v>4</v>
      </c>
      <c r="J132" s="243"/>
      <c r="K132" s="247">
        <f t="shared" si="13"/>
        <v>0</v>
      </c>
      <c r="L132" s="205">
        <f t="shared" si="14"/>
        <v>0</v>
      </c>
      <c r="M132" s="206" t="str">
        <f t="shared" si="7"/>
        <v/>
      </c>
      <c r="N132" s="208"/>
      <c r="O132" s="208"/>
      <c r="P132" s="209"/>
    </row>
    <row r="133" spans="1:16" ht="47.25">
      <c r="A133" s="310">
        <v>25</v>
      </c>
      <c r="B133" s="355" t="s">
        <v>777</v>
      </c>
      <c r="C133" s="356" t="s">
        <v>923</v>
      </c>
      <c r="D133" s="245"/>
      <c r="E133" s="210">
        <v>0.18</v>
      </c>
      <c r="F133" s="246"/>
      <c r="G133" s="360" t="s">
        <v>876</v>
      </c>
      <c r="H133" s="348" t="s">
        <v>284</v>
      </c>
      <c r="I133" s="311">
        <v>315</v>
      </c>
      <c r="J133" s="243"/>
      <c r="K133" s="247">
        <f t="shared" si="13"/>
        <v>0</v>
      </c>
      <c r="L133" s="205">
        <f t="shared" si="14"/>
        <v>0</v>
      </c>
      <c r="M133" s="206" t="str">
        <f t="shared" si="7"/>
        <v/>
      </c>
      <c r="N133" s="208"/>
      <c r="O133" s="208"/>
      <c r="P133" s="209"/>
    </row>
    <row r="134" spans="1:16" ht="47.25">
      <c r="A134" s="310">
        <v>26</v>
      </c>
      <c r="B134" s="355" t="s">
        <v>780</v>
      </c>
      <c r="C134" s="356" t="s">
        <v>924</v>
      </c>
      <c r="D134" s="245"/>
      <c r="E134" s="210">
        <v>0.18</v>
      </c>
      <c r="F134" s="246"/>
      <c r="G134" s="360" t="s">
        <v>878</v>
      </c>
      <c r="H134" s="348" t="s">
        <v>284</v>
      </c>
      <c r="I134" s="311">
        <v>106</v>
      </c>
      <c r="J134" s="243"/>
      <c r="K134" s="247">
        <f t="shared" si="13"/>
        <v>0</v>
      </c>
      <c r="L134" s="205">
        <f t="shared" si="14"/>
        <v>0</v>
      </c>
      <c r="M134" s="206" t="str">
        <f t="shared" si="7"/>
        <v/>
      </c>
      <c r="N134" s="208"/>
      <c r="O134" s="208"/>
      <c r="P134" s="209"/>
    </row>
    <row r="135" spans="1:16" ht="78.75">
      <c r="A135" s="310">
        <v>27</v>
      </c>
      <c r="B135" s="355" t="s">
        <v>783</v>
      </c>
      <c r="C135" s="356" t="s">
        <v>925</v>
      </c>
      <c r="D135" s="245"/>
      <c r="E135" s="210">
        <v>0.18</v>
      </c>
      <c r="F135" s="246"/>
      <c r="G135" s="357" t="s">
        <v>926</v>
      </c>
      <c r="H135" s="358" t="s">
        <v>927</v>
      </c>
      <c r="I135" s="311">
        <v>1</v>
      </c>
      <c r="J135" s="243"/>
      <c r="K135" s="247">
        <f t="shared" si="13"/>
        <v>0</v>
      </c>
      <c r="L135" s="205">
        <f t="shared" si="14"/>
        <v>0</v>
      </c>
      <c r="M135" s="206" t="str">
        <f t="shared" si="7"/>
        <v/>
      </c>
      <c r="N135" s="208"/>
      <c r="O135" s="208"/>
      <c r="P135" s="209"/>
    </row>
    <row r="136" spans="1:16" ht="78.75">
      <c r="A136" s="310">
        <v>28</v>
      </c>
      <c r="B136" s="355" t="s">
        <v>786</v>
      </c>
      <c r="C136" s="356" t="s">
        <v>928</v>
      </c>
      <c r="D136" s="245"/>
      <c r="E136" s="210">
        <v>0.18</v>
      </c>
      <c r="F136" s="246"/>
      <c r="G136" s="357" t="s">
        <v>929</v>
      </c>
      <c r="H136" s="358" t="s">
        <v>927</v>
      </c>
      <c r="I136" s="311">
        <v>8</v>
      </c>
      <c r="J136" s="243"/>
      <c r="K136" s="247">
        <f t="shared" si="13"/>
        <v>0</v>
      </c>
      <c r="L136" s="205">
        <f t="shared" si="14"/>
        <v>0</v>
      </c>
      <c r="M136" s="206" t="str">
        <f t="shared" si="7"/>
        <v/>
      </c>
      <c r="N136" s="208"/>
      <c r="O136" s="208"/>
      <c r="P136" s="209"/>
    </row>
    <row r="137" spans="1:16" ht="47.25">
      <c r="A137" s="310">
        <v>29</v>
      </c>
      <c r="B137" s="355" t="s">
        <v>789</v>
      </c>
      <c r="C137" s="356" t="s">
        <v>930</v>
      </c>
      <c r="D137" s="245"/>
      <c r="E137" s="210">
        <v>0.18</v>
      </c>
      <c r="F137" s="246"/>
      <c r="G137" s="357" t="s">
        <v>931</v>
      </c>
      <c r="H137" s="358" t="s">
        <v>359</v>
      </c>
      <c r="I137" s="311">
        <v>9</v>
      </c>
      <c r="J137" s="243"/>
      <c r="K137" s="247">
        <f t="shared" si="13"/>
        <v>0</v>
      </c>
      <c r="L137" s="205">
        <f t="shared" si="14"/>
        <v>0</v>
      </c>
      <c r="M137" s="206" t="str">
        <f t="shared" si="7"/>
        <v/>
      </c>
      <c r="N137" s="208"/>
      <c r="O137" s="208"/>
      <c r="P137" s="209"/>
    </row>
    <row r="138" spans="1:16" ht="47.25">
      <c r="A138" s="310">
        <v>30</v>
      </c>
      <c r="B138" s="355" t="s">
        <v>792</v>
      </c>
      <c r="C138" s="356" t="s">
        <v>932</v>
      </c>
      <c r="D138" s="245"/>
      <c r="E138" s="210">
        <v>0.18</v>
      </c>
      <c r="F138" s="246"/>
      <c r="G138" s="357" t="s">
        <v>933</v>
      </c>
      <c r="H138" s="358" t="s">
        <v>359</v>
      </c>
      <c r="I138" s="311">
        <v>9</v>
      </c>
      <c r="J138" s="243"/>
      <c r="K138" s="247">
        <f t="shared" si="13"/>
        <v>0</v>
      </c>
      <c r="L138" s="205">
        <f t="shared" si="14"/>
        <v>0</v>
      </c>
      <c r="M138" s="206" t="str">
        <f t="shared" si="7"/>
        <v/>
      </c>
      <c r="N138" s="208"/>
      <c r="O138" s="208"/>
      <c r="P138" s="209"/>
    </row>
    <row r="139" spans="1:16" ht="16.5">
      <c r="A139" s="224"/>
      <c r="B139" s="225"/>
      <c r="C139" s="226"/>
      <c r="D139" s="226"/>
      <c r="E139" s="227"/>
      <c r="F139" s="228"/>
      <c r="G139" s="313" t="s">
        <v>934</v>
      </c>
      <c r="H139" s="229"/>
      <c r="I139" s="230"/>
      <c r="J139" s="231"/>
      <c r="K139" s="250">
        <f>SUM(K109:K138)</f>
        <v>0</v>
      </c>
      <c r="L139" s="250">
        <f>SUM(L109:L138)</f>
        <v>0</v>
      </c>
      <c r="M139" s="232"/>
      <c r="N139" s="208"/>
      <c r="O139" s="208"/>
      <c r="P139" s="209"/>
    </row>
    <row r="140" spans="1:16" ht="73.5" customHeight="1">
      <c r="A140" s="234"/>
      <c r="B140" s="234"/>
      <c r="C140" s="234"/>
      <c r="D140" s="234"/>
      <c r="E140" s="234"/>
      <c r="F140" s="234"/>
      <c r="G140" s="424" t="s">
        <v>935</v>
      </c>
      <c r="H140" s="424"/>
      <c r="I140" s="424"/>
      <c r="J140" s="424"/>
      <c r="K140" s="269" t="str">
        <f>IF(P9=P8,"",(K139+K107+K82+K48))</f>
        <v/>
      </c>
      <c r="L140" s="269" t="str">
        <f>IF(P9=P8,"",(L139+L107+L82+L48))</f>
        <v/>
      </c>
      <c r="M140" s="235"/>
      <c r="N140" s="154" t="str">
        <f>IF(COUNTIF(N6:N107,"TRUE"),"False","Sheet OK")</f>
        <v>False</v>
      </c>
      <c r="O140" s="208"/>
      <c r="P140" s="208"/>
    </row>
    <row r="141" spans="1:16" ht="39" customHeight="1">
      <c r="A141" s="423" t="str">
        <f>IF(K140="","As all the line items are Left Blank the bid is considered as Non-responsive","Sheet OK")</f>
        <v>As all the line items are Left Blank the bid is considered as Non-responsive</v>
      </c>
      <c r="B141" s="423"/>
      <c r="C141" s="423"/>
      <c r="D141" s="423"/>
      <c r="E141" s="423"/>
      <c r="F141" s="423"/>
      <c r="G141" s="423"/>
      <c r="H141" s="423"/>
      <c r="I141" s="423"/>
      <c r="J141" s="423"/>
      <c r="K141" s="423"/>
      <c r="L141" s="423"/>
      <c r="M141" s="423"/>
      <c r="N141" s="208"/>
      <c r="O141" s="208"/>
      <c r="P141" s="208"/>
    </row>
    <row r="142" spans="1:16">
      <c r="K142" s="158">
        <v>0</v>
      </c>
    </row>
    <row r="143" spans="1:16">
      <c r="N143" s="159" t="str">
        <f>IF(COUNTIF(N140:N142,"TRUE"),"False","Sheet OK")</f>
        <v>Sheet OK</v>
      </c>
      <c r="O143" s="159"/>
    </row>
  </sheetData>
  <sheetProtection algorithmName="SHA-512" hashValue="nDNO28IwGX7u6VbMg+TPUsQfT9N4d8UUowIXYXKld4TceejXlmSxlbxxhnKVg5YMsT2Qhs9TDf0BSC7jhOEEQA==" saltValue="uL/F1b2e9bCkpqtbdganhA==" spinCount="100000" sheet="1" formatColumns="0" formatRows="0" selectLockedCells="1"/>
  <customSheetViews>
    <customSheetView guid="{FAE469C4-CC0E-407B-871F-7B3C94956CEC}" scale="90" showPageBreaks="1" fitToPage="1" printArea="1" view="pageBreakPreview">
      <selection activeCell="G17" sqref="G17"/>
      <pageMargins left="0" right="0" top="0" bottom="0" header="0" footer="0"/>
      <pageSetup paperSize="9" scale="72" orientation="landscape" r:id="rId1"/>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2"/>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3"/>
    </customSheetView>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4"/>
    </customSheetView>
  </customSheetViews>
  <mergeCells count="13">
    <mergeCell ref="A141:M141"/>
    <mergeCell ref="A1:L1"/>
    <mergeCell ref="A4:C4"/>
    <mergeCell ref="D3:I3"/>
    <mergeCell ref="D5:I5"/>
    <mergeCell ref="E7:I7"/>
    <mergeCell ref="G140:J140"/>
    <mergeCell ref="J3:L3"/>
    <mergeCell ref="J4:L4"/>
    <mergeCell ref="D4:I4"/>
    <mergeCell ref="D6:I6"/>
    <mergeCell ref="J5:L5"/>
    <mergeCell ref="A2:L2"/>
  </mergeCells>
  <phoneticPr fontId="63" type="noConversion"/>
  <conditionalFormatting sqref="A141:M141">
    <cfRule type="containsText" dxfId="5" priority="13" stopIfTrue="1" operator="containsText" text="sheet">
      <formula>NOT(ISERROR(SEARCH("sheet",A141)))</formula>
    </cfRule>
    <cfRule type="containsText" dxfId="4" priority="14" stopIfTrue="1" operator="containsText" text="Non-responsive">
      <formula>NOT(ISERROR(SEARCH("Non-responsive",A141)))</formula>
    </cfRule>
  </conditionalFormatting>
  <conditionalFormatting sqref="M11:M138">
    <cfRule type="containsText" dxfId="3" priority="10" operator="containsText" text="included">
      <formula>NOT(ISERROR(SEARCH("included",M11)))</formula>
    </cfRule>
  </conditionalFormatting>
  <dataValidations xWindow="1173" yWindow="438" count="2">
    <dataValidation allowBlank="1" showInputMessage="1" showErrorMessage="1" prompt="Please Enter SAC Code" sqref="D85:D106 D11:D47"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48 J84:J106 J82 J108:J138" xr:uid="{00000000-0002-0000-0500-000001000000}">
      <formula1>0</formula1>
    </dataValidation>
  </dataValidations>
  <pageMargins left="0.7" right="0.7" top="0.75" bottom="0.75" header="0.3" footer="0.3"/>
  <pageSetup paperSize="9" scale="10"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F26"/>
  <sheetViews>
    <sheetView view="pageBreakPreview" zoomScaleNormal="100" zoomScaleSheetLayoutView="100" workbookViewId="0">
      <selection sqref="A1:D1"/>
    </sheetView>
  </sheetViews>
  <sheetFormatPr defaultRowHeight="13.5"/>
  <cols>
    <col min="1" max="1" width="10.140625" style="160" bestFit="1" customWidth="1"/>
    <col min="2" max="2" width="41.140625" style="160" customWidth="1"/>
    <col min="3" max="3" width="16.42578125" style="160" customWidth="1"/>
    <col min="4" max="4" width="24" style="166" customWidth="1"/>
    <col min="5" max="5" width="9.140625" style="160"/>
    <col min="6" max="6" width="12.7109375" style="160" bestFit="1" customWidth="1"/>
    <col min="7" max="16384" width="9.140625" style="160"/>
  </cols>
  <sheetData>
    <row r="1" spans="1:4" ht="57.75" customHeight="1">
      <c r="A1" s="371" t="str">
        <f>'Name of Bidder'!A1</f>
        <v>Package-B for Construction of Field Hostel and Community Center at 765/400kV Kurnool-III PS under Transmission System for evacuation of power from RE sources in Kurnool Wind Energy Zone (3000MW)/ Solar Energy Zone (1500MW) Part-A and Part-B</v>
      </c>
      <c r="B1" s="371"/>
      <c r="C1" s="371"/>
      <c r="D1" s="371"/>
    </row>
    <row r="2" spans="1:4" ht="16.5">
      <c r="A2" s="371" t="s">
        <v>936</v>
      </c>
      <c r="B2" s="371"/>
      <c r="C2" s="371"/>
      <c r="D2" s="371"/>
    </row>
    <row r="3" spans="1:4">
      <c r="A3" s="425" t="s">
        <v>244</v>
      </c>
      <c r="B3" s="425"/>
      <c r="C3" s="425" t="s">
        <v>243</v>
      </c>
      <c r="D3" s="425"/>
    </row>
    <row r="4" spans="1:4">
      <c r="A4" s="270" t="s">
        <v>15</v>
      </c>
      <c r="B4" s="271">
        <f>'Name of Bidder'!C9</f>
        <v>0</v>
      </c>
      <c r="C4" s="270" t="s">
        <v>245</v>
      </c>
      <c r="D4" s="272"/>
    </row>
    <row r="5" spans="1:4" ht="16.5">
      <c r="A5" s="270" t="s">
        <v>16</v>
      </c>
      <c r="B5" s="271">
        <f>'Schedule-I'!C5</f>
        <v>0</v>
      </c>
      <c r="C5" s="427" t="s">
        <v>246</v>
      </c>
      <c r="D5" s="427"/>
    </row>
    <row r="6" spans="1:4" ht="16.5">
      <c r="A6" s="273"/>
      <c r="B6" s="271">
        <f>'Schedule-I'!C6</f>
        <v>0</v>
      </c>
      <c r="C6" s="62" t="s">
        <v>247</v>
      </c>
      <c r="D6" s="126"/>
    </row>
    <row r="7" spans="1:4" ht="16.5">
      <c r="A7" s="273"/>
      <c r="B7" s="271">
        <f>'Schedule-I'!C7</f>
        <v>0</v>
      </c>
      <c r="C7" s="62" t="s">
        <v>937</v>
      </c>
      <c r="D7" s="126"/>
    </row>
    <row r="8" spans="1:4" ht="16.5">
      <c r="A8" s="273"/>
      <c r="B8" s="271"/>
      <c r="C8" s="62" t="s">
        <v>938</v>
      </c>
      <c r="D8" s="126"/>
    </row>
    <row r="9" spans="1:4" ht="15">
      <c r="A9" s="161" t="s">
        <v>250</v>
      </c>
      <c r="B9" s="426" t="s">
        <v>939</v>
      </c>
      <c r="C9" s="426"/>
      <c r="D9" s="162" t="s">
        <v>940</v>
      </c>
    </row>
    <row r="10" spans="1:4" ht="15">
      <c r="A10" s="163">
        <v>1.1000000000000001</v>
      </c>
      <c r="B10" s="428" t="s">
        <v>941</v>
      </c>
      <c r="C10" s="428"/>
      <c r="D10" s="274"/>
    </row>
    <row r="11" spans="1:4" ht="69.75" customHeight="1">
      <c r="A11" s="163"/>
      <c r="B11" s="429" t="str">
        <f>"Supply &amp; Installation Charges- Schedule Civil Items for " &amp;A1</f>
        <v>Supply &amp; Installation Charges- Schedule Civil Items for Package-B for Construction of Field Hostel and Community Center at 765/400kV Kurnool-III PS under Transmission System for evacuation of power from RE sources in Kurnool Wind Energy Zone (3000MW)/ Solar Energy Zone (1500MW) Part-A and Part-B</v>
      </c>
      <c r="C11" s="429"/>
      <c r="D11" s="275" t="str">
        <f>'Schedule-I'!N351</f>
        <v/>
      </c>
    </row>
    <row r="12" spans="1:4" ht="15">
      <c r="A12" s="163">
        <v>1.2</v>
      </c>
      <c r="B12" s="428" t="s">
        <v>942</v>
      </c>
      <c r="C12" s="428"/>
      <c r="D12" s="275"/>
    </row>
    <row r="13" spans="1:4" ht="72.75" customHeight="1">
      <c r="A13" s="163"/>
      <c r="B13" s="429" t="str">
        <f>"Supply &amp; Installation Charges- Non-Schedule Civil Items for " &amp; A1</f>
        <v>Supply &amp; Installation Charges- Non-Schedule Civil Items for Package-B for Construction of Field Hostel and Community Center at 765/400kV Kurnool-III PS under Transmission System for evacuation of power from RE sources in Kurnool Wind Energy Zone (3000MW)/ Solar Energy Zone (1500MW) Part-A and Part-B</v>
      </c>
      <c r="C13" s="429"/>
      <c r="D13" s="276" t="str">
        <f>'Schedule-II'!K140</f>
        <v/>
      </c>
    </row>
    <row r="14" spans="1:4" ht="15">
      <c r="A14" s="163"/>
      <c r="B14" s="435"/>
      <c r="C14" s="436"/>
      <c r="D14" s="276"/>
    </row>
    <row r="15" spans="1:4" ht="39.75" customHeight="1">
      <c r="A15" s="163" t="s">
        <v>943</v>
      </c>
      <c r="B15" s="437" t="s">
        <v>944</v>
      </c>
      <c r="C15" s="438"/>
      <c r="D15" s="164" t="str">
        <f>IF(OR(D11="",D13=""),"Non-responsive Bid",D11+D13)</f>
        <v>Non-responsive Bid</v>
      </c>
    </row>
    <row r="16" spans="1:4" ht="15">
      <c r="A16" s="163"/>
      <c r="B16" s="430"/>
      <c r="C16" s="431"/>
      <c r="D16" s="164"/>
    </row>
    <row r="17" spans="1:6" ht="15">
      <c r="A17" s="163" t="s">
        <v>945</v>
      </c>
      <c r="B17" s="428" t="s">
        <v>946</v>
      </c>
      <c r="C17" s="428"/>
      <c r="D17" s="164"/>
      <c r="E17" s="281"/>
      <c r="F17" s="281"/>
    </row>
    <row r="18" spans="1:6" ht="15">
      <c r="A18" s="163"/>
      <c r="B18" s="429" t="s">
        <v>947</v>
      </c>
      <c r="C18" s="429"/>
      <c r="D18" s="164" t="str">
        <f>'Schedule-I'!O352</f>
        <v/>
      </c>
      <c r="E18" s="281"/>
      <c r="F18" s="281"/>
    </row>
    <row r="19" spans="1:6" ht="15">
      <c r="A19" s="163"/>
      <c r="B19" s="429" t="s">
        <v>948</v>
      </c>
      <c r="C19" s="429"/>
      <c r="D19" s="164" t="str">
        <f>'Schedule-II'!L140</f>
        <v/>
      </c>
      <c r="E19" s="281"/>
      <c r="F19" s="281"/>
    </row>
    <row r="20" spans="1:6" ht="45" customHeight="1">
      <c r="A20" s="163"/>
      <c r="B20" s="432" t="s">
        <v>949</v>
      </c>
      <c r="C20" s="432"/>
      <c r="D20" s="164" t="str">
        <f>IF(OR(D11="",D13=""),"Non-responsive Bid",D18+D19)</f>
        <v>Non-responsive Bid</v>
      </c>
      <c r="E20" s="281"/>
      <c r="F20" s="361"/>
    </row>
    <row r="21" spans="1:6" ht="15.75">
      <c r="A21" s="163"/>
      <c r="B21" s="433"/>
      <c r="C21" s="434"/>
      <c r="D21" s="165"/>
      <c r="E21" s="281"/>
      <c r="F21" s="281"/>
    </row>
    <row r="22" spans="1:6" ht="16.5">
      <c r="A22" s="163" t="s">
        <v>950</v>
      </c>
      <c r="B22" s="432" t="s">
        <v>951</v>
      </c>
      <c r="C22" s="432"/>
      <c r="D22" s="164" t="str">
        <f>IF(OR(D11="",D13=""),"Non-responsive Bid",D15+D20)</f>
        <v>Non-responsive Bid</v>
      </c>
      <c r="E22" s="281"/>
      <c r="F22" s="281"/>
    </row>
    <row r="23" spans="1:6">
      <c r="A23" s="277"/>
      <c r="B23" s="278"/>
      <c r="C23" s="278"/>
      <c r="D23" s="279"/>
      <c r="E23" s="281"/>
      <c r="F23" s="361"/>
    </row>
    <row r="24" spans="1:6">
      <c r="A24" s="280"/>
      <c r="B24" s="281"/>
      <c r="C24" s="281"/>
      <c r="D24" s="282"/>
      <c r="E24" s="281"/>
      <c r="F24" s="281"/>
    </row>
    <row r="25" spans="1:6">
      <c r="A25" s="283" t="s">
        <v>952</v>
      </c>
      <c r="B25" s="317"/>
      <c r="C25" s="270" t="s">
        <v>953</v>
      </c>
      <c r="D25" s="282">
        <f>'Name of Bidder'!C17</f>
        <v>0</v>
      </c>
      <c r="E25" s="281"/>
      <c r="F25" s="281"/>
    </row>
    <row r="26" spans="1:6">
      <c r="A26" s="284" t="s">
        <v>954</v>
      </c>
      <c r="B26" s="285">
        <f>'Name of Bidder'!C21</f>
        <v>0</v>
      </c>
      <c r="C26" s="286" t="s">
        <v>955</v>
      </c>
      <c r="D26" s="287">
        <f>'Name of Bidder'!C18</f>
        <v>0</v>
      </c>
      <c r="E26" s="281"/>
      <c r="F26" s="281"/>
    </row>
  </sheetData>
  <sheetProtection algorithmName="SHA-512" hashValue="S49Ips7ggU/KgPKI/38aYqzRB8URhoR6+nn8dlKaHXkNRR6hREwppEjK7GGcDlda12xQpSr+uNVEiy6DAtMqLQ==" saltValue="zZs6cJ5mWPSeZBmKw7iRGw==" spinCount="100000" sheet="1" objects="1" scenarios="1"/>
  <customSheetViews>
    <customSheetView guid="{FAE469C4-CC0E-407B-871F-7B3C94956CEC}" showPageBreaks="1" fitToPage="1" view="pageBreakPreview">
      <selection activeCell="N15" sqref="N15"/>
      <pageMargins left="0" right="0" top="0" bottom="0" header="0" footer="0"/>
      <pageSetup paperSize="9" orientation="portrait" r:id="rId1"/>
    </customSheetView>
    <customSheetView guid="{71DFD631-F0FC-4D77-B088-495FC5677788}" showPageBreaks="1" fitToPage="1" view="pageBreakPreview">
      <selection activeCell="N15" sqref="N15"/>
      <pageMargins left="0" right="0" top="0" bottom="0" header="0" footer="0"/>
      <pageSetup paperSize="9" orientation="portrait" r:id="rId2"/>
    </customSheetView>
    <customSheetView guid="{768FBB31-C98F-42D8-8A21-9E4C92CB0C4E}" showPageBreaks="1" fitToPage="1" view="pageBreakPreview">
      <selection activeCell="G16" sqref="G16"/>
      <pageMargins left="0" right="0" top="0" bottom="0" header="0" footer="0"/>
      <pageSetup paperSize="9" orientation="portrait" r:id="rId3"/>
    </customSheetView>
    <customSheetView guid="{F3854C08-3477-4F6D-851C-40DFA3C6F6FE}" showPageBreaks="1" fitToPage="1" view="pageBreakPreview" topLeftCell="A4">
      <selection activeCell="D11" sqref="D11"/>
      <pageMargins left="0" right="0" top="0" bottom="0" header="0" footer="0"/>
      <pageSetup paperSize="9" orientation="portrait" r:id="rId4"/>
    </customSheetView>
  </customSheetViews>
  <mergeCells count="19">
    <mergeCell ref="B20:C20"/>
    <mergeCell ref="B21:C21"/>
    <mergeCell ref="B22:C22"/>
    <mergeCell ref="B14:C14"/>
    <mergeCell ref="B15:C15"/>
    <mergeCell ref="B18:C18"/>
    <mergeCell ref="B19:C19"/>
    <mergeCell ref="B17:C17"/>
    <mergeCell ref="B10:C10"/>
    <mergeCell ref="B11:C11"/>
    <mergeCell ref="B12:C12"/>
    <mergeCell ref="B13:C13"/>
    <mergeCell ref="B16:C16"/>
    <mergeCell ref="A1:D1"/>
    <mergeCell ref="A2:D2"/>
    <mergeCell ref="A3:B3"/>
    <mergeCell ref="C3:D3"/>
    <mergeCell ref="B9:C9"/>
    <mergeCell ref="C5:D5"/>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view="pageBreakPreview" zoomScaleNormal="100" zoomScaleSheetLayoutView="100" workbookViewId="0">
      <selection activeCell="C5" sqref="C5:F5"/>
    </sheetView>
  </sheetViews>
  <sheetFormatPr defaultRowHeight="12.75"/>
  <cols>
    <col min="1" max="2" width="10.7109375" style="170" customWidth="1"/>
    <col min="3" max="3" width="14.7109375" style="170" customWidth="1"/>
    <col min="4" max="4" width="20.7109375" style="170" customWidth="1"/>
    <col min="5" max="5" width="12.7109375" style="170" customWidth="1"/>
    <col min="6" max="6" width="34.140625" style="170" customWidth="1"/>
    <col min="7" max="25" width="9.140625" style="170"/>
    <col min="26" max="26" width="12.5703125" style="170" customWidth="1"/>
    <col min="27" max="27" width="9.140625" style="170"/>
    <col min="28" max="28" width="16.140625" style="170" bestFit="1" customWidth="1"/>
    <col min="29" max="16384" width="9.140625" style="170"/>
  </cols>
  <sheetData>
    <row r="1" spans="1:6" ht="17.25">
      <c r="A1" s="167" t="str">
        <f>'Name of Bidder'!A2:C2</f>
        <v>Specification No: Ref: SR-I/C&amp;M/WC-3810/2024/RFx-5002003836(SR1/NT/S-MISC/DOM/B00/24/11240) (Pkg-B)</v>
      </c>
      <c r="B1" s="167"/>
      <c r="C1" s="168"/>
      <c r="D1" s="168"/>
      <c r="E1" s="168"/>
      <c r="F1" s="169" t="s">
        <v>956</v>
      </c>
    </row>
    <row r="2" spans="1:6" ht="16.5">
      <c r="A2" s="171"/>
      <c r="B2" s="171"/>
      <c r="C2" s="171"/>
      <c r="D2" s="171"/>
      <c r="E2" s="171"/>
      <c r="F2" s="171"/>
    </row>
    <row r="3" spans="1:6" ht="15">
      <c r="A3" s="440" t="s">
        <v>957</v>
      </c>
      <c r="B3" s="440"/>
      <c r="C3" s="440"/>
      <c r="D3" s="440"/>
      <c r="E3" s="440"/>
      <c r="F3" s="440"/>
    </row>
    <row r="4" spans="1:6" ht="15">
      <c r="A4" s="172"/>
      <c r="B4" s="172"/>
      <c r="C4" s="172"/>
      <c r="D4" s="172"/>
      <c r="E4" s="172"/>
      <c r="F4" s="172"/>
    </row>
    <row r="5" spans="1:6" ht="16.5">
      <c r="A5" s="173" t="s">
        <v>958</v>
      </c>
      <c r="B5" s="173"/>
      <c r="C5" s="441"/>
      <c r="D5" s="441"/>
      <c r="E5" s="441"/>
      <c r="F5" s="441"/>
    </row>
    <row r="6" spans="1:6" ht="16.5">
      <c r="A6" s="173" t="s">
        <v>19</v>
      </c>
      <c r="B6" s="442"/>
      <c r="C6" s="442"/>
      <c r="D6" s="171"/>
      <c r="E6" s="171"/>
      <c r="F6" s="171"/>
    </row>
    <row r="7" spans="1:6" ht="16.5">
      <c r="A7" s="173"/>
      <c r="B7" s="174"/>
      <c r="C7" s="174"/>
      <c r="D7" s="171"/>
      <c r="E7" s="171"/>
      <c r="F7" s="171"/>
    </row>
    <row r="8" spans="1:6" ht="16.5">
      <c r="A8" s="175" t="s">
        <v>243</v>
      </c>
      <c r="B8" s="176"/>
      <c r="C8" s="171"/>
      <c r="D8" s="171"/>
      <c r="E8" s="171"/>
      <c r="F8" s="177"/>
    </row>
    <row r="9" spans="1:6" ht="16.5">
      <c r="A9" s="178" t="s">
        <v>245</v>
      </c>
      <c r="B9" s="178"/>
      <c r="C9" s="171"/>
      <c r="D9" s="171"/>
      <c r="E9" s="171"/>
      <c r="F9" s="177"/>
    </row>
    <row r="10" spans="1:6" ht="16.5">
      <c r="A10" s="178" t="s">
        <v>246</v>
      </c>
      <c r="B10" s="178"/>
      <c r="C10" s="171"/>
      <c r="D10" s="171"/>
      <c r="E10" s="171"/>
      <c r="F10" s="177"/>
    </row>
    <row r="11" spans="1:6" ht="16.5">
      <c r="A11" s="178" t="s">
        <v>959</v>
      </c>
      <c r="B11" s="178"/>
      <c r="C11" s="171"/>
      <c r="D11" s="171"/>
      <c r="E11" s="171"/>
      <c r="F11" s="177"/>
    </row>
    <row r="12" spans="1:6" ht="16.5">
      <c r="A12" s="178"/>
      <c r="B12" s="178"/>
      <c r="C12" s="171"/>
      <c r="D12" s="171"/>
      <c r="E12" s="171"/>
      <c r="F12" s="177"/>
    </row>
    <row r="13" spans="1:6" ht="16.5">
      <c r="A13" s="178"/>
      <c r="B13" s="178"/>
      <c r="C13" s="171"/>
      <c r="D13" s="171"/>
      <c r="E13" s="171"/>
      <c r="F13" s="177"/>
    </row>
    <row r="14" spans="1:6" ht="16.5">
      <c r="A14" s="173"/>
      <c r="B14" s="173"/>
      <c r="C14" s="171"/>
      <c r="D14" s="171"/>
      <c r="E14" s="171"/>
      <c r="F14" s="177"/>
    </row>
    <row r="15" spans="1:6" ht="68.25" customHeight="1">
      <c r="A15" s="179" t="s">
        <v>960</v>
      </c>
      <c r="B15" s="180"/>
      <c r="C15" s="443" t="str">
        <f>'Name of Bidder'!A1</f>
        <v>Package-B for Construction of Field Hostel and Community Center at 765/400kV Kurnool-III PS under Transmission System for evacuation of power from RE sources in Kurnool Wind Energy Zone (3000MW)/ Solar Energy Zone (1500MW) Part-A and Part-B</v>
      </c>
      <c r="D15" s="443"/>
      <c r="E15" s="443"/>
      <c r="F15" s="443"/>
    </row>
    <row r="16" spans="1:6" ht="45.75" customHeight="1">
      <c r="A16" s="171" t="s">
        <v>961</v>
      </c>
      <c r="B16" s="171"/>
      <c r="C16" s="177"/>
      <c r="D16" s="177"/>
      <c r="E16" s="177"/>
      <c r="F16" s="177"/>
    </row>
    <row r="17" spans="1:28" ht="113.25" customHeight="1">
      <c r="A17" s="180">
        <v>1</v>
      </c>
      <c r="B17" s="444"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444"/>
      <c r="D17" s="444"/>
      <c r="E17" s="444"/>
      <c r="F17" s="444"/>
      <c r="Z17" s="182" t="s">
        <v>962</v>
      </c>
      <c r="AA17" s="183" t="s">
        <v>963</v>
      </c>
      <c r="AB17" s="184" t="str">
        <f>'Schedule-III-Summary'!D22</f>
        <v>Non-responsive Bid</v>
      </c>
    </row>
    <row r="18" spans="1:28" ht="42" customHeight="1">
      <c r="A18" s="171"/>
      <c r="B18" s="439" t="s">
        <v>964</v>
      </c>
      <c r="C18" s="439"/>
      <c r="D18" s="439"/>
      <c r="E18" s="439"/>
      <c r="F18" s="439"/>
    </row>
    <row r="19" spans="1:28" ht="16.5">
      <c r="A19" s="185">
        <v>2</v>
      </c>
      <c r="B19" s="446" t="s">
        <v>965</v>
      </c>
      <c r="C19" s="446"/>
      <c r="D19" s="446"/>
      <c r="E19" s="446"/>
      <c r="F19" s="446"/>
    </row>
    <row r="20" spans="1:28" ht="33.75" customHeight="1">
      <c r="A20" s="180">
        <v>2.1</v>
      </c>
      <c r="B20" s="444" t="s">
        <v>966</v>
      </c>
      <c r="C20" s="444"/>
      <c r="D20" s="444"/>
      <c r="E20" s="444"/>
      <c r="F20" s="444"/>
    </row>
    <row r="21" spans="1:28" ht="16.5">
      <c r="A21" s="180"/>
      <c r="B21" s="181" t="s">
        <v>967</v>
      </c>
      <c r="C21" s="447" t="s">
        <v>968</v>
      </c>
      <c r="D21" s="447"/>
      <c r="E21" s="447"/>
      <c r="F21" s="447"/>
    </row>
    <row r="22" spans="1:28" ht="16.5">
      <c r="A22" s="180"/>
      <c r="B22" s="181" t="s">
        <v>969</v>
      </c>
      <c r="C22" s="447" t="s">
        <v>970</v>
      </c>
      <c r="D22" s="447"/>
      <c r="E22" s="447"/>
      <c r="F22" s="447"/>
    </row>
    <row r="23" spans="1:28" ht="16.5" customHeight="1">
      <c r="A23" s="180"/>
      <c r="B23" s="181" t="s">
        <v>971</v>
      </c>
      <c r="C23" s="447" t="s">
        <v>972</v>
      </c>
      <c r="D23" s="447"/>
      <c r="E23" s="447"/>
      <c r="F23" s="447"/>
    </row>
    <row r="24" spans="1:28" ht="16.5">
      <c r="A24" s="171"/>
      <c r="B24" s="445"/>
      <c r="C24" s="445"/>
      <c r="D24" s="179"/>
      <c r="E24" s="179"/>
      <c r="F24" s="179"/>
    </row>
    <row r="25" spans="1:28" ht="87.75" customHeight="1">
      <c r="A25" s="186">
        <v>2.2000000000000002</v>
      </c>
      <c r="B25" s="444" t="s">
        <v>973</v>
      </c>
      <c r="C25" s="444"/>
      <c r="D25" s="444"/>
      <c r="E25" s="444"/>
      <c r="F25" s="444"/>
    </row>
    <row r="26" spans="1:28" ht="51" customHeight="1">
      <c r="A26" s="186">
        <v>2.2999999999999998</v>
      </c>
      <c r="B26" s="444" t="s">
        <v>974</v>
      </c>
      <c r="C26" s="444"/>
      <c r="D26" s="444"/>
      <c r="E26" s="444"/>
      <c r="F26" s="444"/>
    </row>
    <row r="27" spans="1:28" ht="120" customHeight="1">
      <c r="A27" s="186">
        <v>2.4</v>
      </c>
      <c r="B27" s="444" t="s">
        <v>975</v>
      </c>
      <c r="C27" s="444"/>
      <c r="D27" s="444"/>
      <c r="E27" s="444"/>
      <c r="F27" s="444"/>
    </row>
    <row r="28" spans="1:28" ht="97.5" customHeight="1">
      <c r="A28" s="180">
        <v>3</v>
      </c>
      <c r="B28" s="444" t="s">
        <v>976</v>
      </c>
      <c r="C28" s="444"/>
      <c r="D28" s="444"/>
      <c r="E28" s="444"/>
      <c r="F28" s="444"/>
    </row>
    <row r="29" spans="1:28" ht="62.25" customHeight="1">
      <c r="A29" s="186">
        <v>3.1</v>
      </c>
      <c r="B29" s="447" t="s">
        <v>977</v>
      </c>
      <c r="C29" s="447"/>
      <c r="D29" s="447"/>
      <c r="E29" s="447"/>
      <c r="F29" s="447"/>
    </row>
    <row r="30" spans="1:28" ht="57" customHeight="1">
      <c r="A30" s="186">
        <v>3.2</v>
      </c>
      <c r="B30" s="444" t="s">
        <v>978</v>
      </c>
      <c r="C30" s="444"/>
      <c r="D30" s="444"/>
      <c r="E30" s="444"/>
      <c r="F30" s="444"/>
    </row>
    <row r="31" spans="1:28" ht="62.25" customHeight="1">
      <c r="A31" s="186">
        <v>3.3</v>
      </c>
      <c r="B31" s="444" t="s">
        <v>979</v>
      </c>
      <c r="C31" s="444"/>
      <c r="D31" s="444"/>
      <c r="E31" s="444"/>
      <c r="F31" s="444"/>
    </row>
    <row r="32" spans="1:28" ht="79.5" customHeight="1">
      <c r="A32" s="180">
        <v>4</v>
      </c>
      <c r="B32" s="444" t="s">
        <v>980</v>
      </c>
      <c r="C32" s="444"/>
      <c r="D32" s="444"/>
      <c r="E32" s="444"/>
      <c r="F32" s="444"/>
    </row>
    <row r="33" spans="1:6" ht="89.25" customHeight="1">
      <c r="A33" s="180">
        <v>5</v>
      </c>
      <c r="B33" s="444" t="s">
        <v>981</v>
      </c>
      <c r="C33" s="444"/>
      <c r="D33" s="444"/>
      <c r="E33" s="444"/>
      <c r="F33" s="444"/>
    </row>
    <row r="34" spans="1:6" ht="16.5">
      <c r="A34" s="171"/>
      <c r="B34" s="187" t="str">
        <f>IF(ISERROR("Dated this " &amp; AG6 &amp; LOOKUP(AG6,AE1:AE27,AF1:AF27) &amp; " day of " &amp; AG8 &amp; " " &amp;AG9), "", "Dated this " &amp; AG6 &amp; LOOKUP(AG6,AE1:AE27,AF1:AF27) &amp; " day of " &amp; AG8 &amp; " " &amp;AG9)</f>
        <v/>
      </c>
      <c r="C34" s="187"/>
      <c r="D34" s="187"/>
      <c r="E34" s="188"/>
      <c r="F34" s="188"/>
    </row>
    <row r="35" spans="1:6" ht="16.5">
      <c r="A35" s="171"/>
      <c r="B35" s="187" t="s">
        <v>982</v>
      </c>
      <c r="C35" s="189"/>
      <c r="D35" s="190"/>
      <c r="E35" s="190"/>
      <c r="F35" s="190"/>
    </row>
    <row r="36" spans="1:6" ht="16.5">
      <c r="A36" s="171"/>
      <c r="B36" s="191"/>
      <c r="C36" s="190"/>
      <c r="D36" s="190"/>
      <c r="E36" s="187"/>
      <c r="F36" s="192" t="s">
        <v>983</v>
      </c>
    </row>
    <row r="37" spans="1:6" ht="16.5">
      <c r="A37" s="171"/>
      <c r="B37" s="191"/>
      <c r="C37" s="190"/>
      <c r="D37" s="187"/>
      <c r="E37" s="187"/>
      <c r="F37" s="192" t="str">
        <f>"For and on behalf of " &amp; 'Schedule-I'!C3</f>
        <v xml:space="preserve">For and on behalf of </v>
      </c>
    </row>
    <row r="38" spans="1:6" ht="16.5">
      <c r="A38" s="193"/>
      <c r="B38" s="193"/>
      <c r="C38" s="194"/>
      <c r="D38" s="193"/>
      <c r="E38" s="195"/>
      <c r="F38" s="173"/>
    </row>
    <row r="39" spans="1:6" ht="16.5">
      <c r="A39" s="196" t="s">
        <v>984</v>
      </c>
      <c r="B39" s="448">
        <f>'Name of Bidder'!C20</f>
        <v>0</v>
      </c>
      <c r="C39" s="448"/>
      <c r="D39" s="193"/>
      <c r="E39" s="195" t="s">
        <v>20</v>
      </c>
      <c r="F39" s="197">
        <f>'Name of Bidder'!C17</f>
        <v>0</v>
      </c>
    </row>
    <row r="40" spans="1:6" ht="16.5">
      <c r="A40" s="196" t="s">
        <v>954</v>
      </c>
      <c r="B40" s="197">
        <f>'Name of Bidder'!C21</f>
        <v>0</v>
      </c>
      <c r="C40" s="198"/>
      <c r="D40" s="193"/>
      <c r="E40" s="195" t="s">
        <v>22</v>
      </c>
      <c r="F40" s="197">
        <f>'Name of Bidder'!C18</f>
        <v>0</v>
      </c>
    </row>
    <row r="41" spans="1:6" ht="16.5">
      <c r="A41" s="171"/>
      <c r="B41" s="171"/>
      <c r="C41" s="171"/>
      <c r="D41" s="193"/>
      <c r="E41" s="195"/>
      <c r="F41" s="171"/>
    </row>
    <row r="42" spans="1:6" ht="16.5">
      <c r="A42" s="199" t="s">
        <v>985</v>
      </c>
      <c r="B42" s="200"/>
      <c r="C42" s="201"/>
      <c r="D42" s="187"/>
      <c r="E42" s="192"/>
      <c r="F42" s="187"/>
    </row>
    <row r="43" spans="1:6" ht="16.5">
      <c r="A43" s="449" t="s">
        <v>986</v>
      </c>
      <c r="B43" s="449"/>
      <c r="C43" s="449"/>
      <c r="D43" s="450"/>
      <c r="E43" s="450"/>
      <c r="F43" s="450"/>
    </row>
    <row r="44" spans="1:6" ht="16.5">
      <c r="A44" s="451"/>
      <c r="B44" s="451"/>
      <c r="C44" s="451"/>
      <c r="D44" s="125"/>
      <c r="E44" s="125"/>
      <c r="F44" s="125"/>
    </row>
    <row r="45" spans="1:6" ht="16.5">
      <c r="A45" s="453"/>
      <c r="B45" s="453"/>
      <c r="C45" s="453"/>
      <c r="D45" s="125"/>
      <c r="E45" s="125"/>
      <c r="F45" s="125"/>
    </row>
    <row r="46" spans="1:6" ht="16.5">
      <c r="A46" s="454" t="s">
        <v>987</v>
      </c>
      <c r="B46" s="454"/>
      <c r="C46" s="454"/>
      <c r="D46" s="450"/>
      <c r="E46" s="450"/>
      <c r="F46" s="450"/>
    </row>
    <row r="47" spans="1:6" ht="16.5">
      <c r="A47" s="454" t="s">
        <v>988</v>
      </c>
      <c r="B47" s="454"/>
      <c r="C47" s="454"/>
      <c r="D47" s="450"/>
      <c r="E47" s="450"/>
      <c r="F47" s="450"/>
    </row>
    <row r="48" spans="1:6" ht="16.5">
      <c r="A48" s="454" t="s">
        <v>989</v>
      </c>
      <c r="B48" s="454"/>
      <c r="C48" s="454"/>
      <c r="D48" s="450"/>
      <c r="E48" s="450"/>
      <c r="F48" s="450"/>
    </row>
    <row r="49" spans="1:6" ht="16.5">
      <c r="A49" s="449" t="s">
        <v>990</v>
      </c>
      <c r="B49" s="449"/>
      <c r="C49" s="449"/>
      <c r="D49" s="450"/>
      <c r="E49" s="450"/>
      <c r="F49" s="450"/>
    </row>
    <row r="50" spans="1:6" ht="16.5">
      <c r="A50" s="451"/>
      <c r="B50" s="451"/>
      <c r="C50" s="451"/>
      <c r="D50" s="125"/>
      <c r="E50" s="125"/>
      <c r="F50" s="125"/>
    </row>
    <row r="51" spans="1:6" ht="16.5">
      <c r="A51" s="453"/>
      <c r="B51" s="453"/>
      <c r="C51" s="453"/>
      <c r="D51" s="125"/>
      <c r="E51" s="125"/>
      <c r="F51" s="125"/>
    </row>
    <row r="52" spans="1:6" ht="37.5" customHeight="1">
      <c r="A52" s="455"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455"/>
      <c r="C52" s="455"/>
      <c r="D52" s="455"/>
      <c r="E52" s="455"/>
      <c r="F52" s="455"/>
    </row>
    <row r="53" spans="1:6" ht="18.75">
      <c r="A53" s="452" t="s">
        <v>991</v>
      </c>
      <c r="B53" s="452"/>
      <c r="C53" s="452"/>
      <c r="D53" s="452"/>
      <c r="E53" s="452"/>
      <c r="F53" s="452"/>
    </row>
  </sheetData>
  <sheetProtection password="93F4" sheet="1" objects="1" scenarios="1" formatColumns="0" formatRows="0" selectLockedCells="1"/>
  <customSheetViews>
    <customSheetView guid="{FAE469C4-CC0E-407B-871F-7B3C94956CEC}" scale="90" showPageBreaks="1" printArea="1" view="pageBreakPreview">
      <selection activeCell="J17" sqref="J17"/>
      <pageMargins left="0" right="0" top="0" bottom="0" header="0" footer="0"/>
      <pageSetup paperSize="9" scale="94" orientation="portrait" r:id="rId1"/>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2"/>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3"/>
      <headerFooter>
        <oddFooter>Page &amp;P of &amp;N</oddFooter>
      </headerFooter>
    </customSheetView>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4"/>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voorai vasini dattathreya</dc:creator>
  <cp:keywords/>
  <dc:description/>
  <cp:lastModifiedBy>Voorai Vasini Dattathreya {वी. वासिनी दत्तात्रेय}</cp:lastModifiedBy>
  <cp:revision/>
  <dcterms:created xsi:type="dcterms:W3CDTF">2010-09-27T08:09:01Z</dcterms:created>
  <dcterms:modified xsi:type="dcterms:W3CDTF">2024-08-29T13:09:16Z</dcterms:modified>
  <cp:category/>
  <cp:contentStatus/>
</cp:coreProperties>
</file>