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updateLinks="never" codeName="ThisWorkbook" defaultThemeVersion="124226"/>
  <mc:AlternateContent xmlns:mc="http://schemas.openxmlformats.org/markup-compatibility/2006">
    <mc:Choice Requires="x15">
      <x15ac:absPath xmlns:x15ac="http://schemas.microsoft.com/office/spreadsheetml/2010/11/ac" url="C:\Users\60003184\Desktop\"/>
    </mc:Choice>
  </mc:AlternateContent>
  <xr:revisionPtr revIDLastSave="0" documentId="13_ncr:1_{4A287151-5BFF-4130-BFCD-F9E8A15FD4D9}" xr6:coauthVersionLast="36" xr6:coauthVersionMax="36" xr10:uidLastSave="{00000000-0000-0000-0000-000000000000}"/>
  <workbookProtection workbookAlgorithmName="SHA-512" workbookHashValue="TrcjfiRnK5/dXDwDbIqFAU1crpEXLx/kR3GXOtKKWhiQ1scJJkFF+ie2h0ifJITYSI38vzE4PhTQdqCstvxkyw==" workbookSaltValue="Eq2yv5oDUInbQoMyQ+HqHg==" workbookSpinCount="100000" revisionsAlgorithmName="SHA-512" revisionsHashValue="eORWvbQaoJ0VmcIZYu35IrSsCvHWBW+EkGYqDvmZeZbAjIp659TEW30cEAw6QHheymQmUjRVuonlk63mOVKobQ==" revisionsSaltValue="fOJscq8WHfeKPEFqg7xncA==" revisionsSpinCount="100000" lockStructure="1" lockRevision="1"/>
  <bookViews>
    <workbookView xWindow="360" yWindow="480" windowWidth="10515" windowHeight="4320" tabRatio="786"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'Sch-1'!$A$17:$IV$71</definedName>
    <definedName name="_xlnm._FilterDatabase" localSheetId="5" hidden="1">'Sch-2'!$A$17:$AF$69</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'Sch-1'!$A$1:$N$75</definedName>
    <definedName name="_xlnm.Print_Area" localSheetId="5">'Sch-2'!$A$1:$J$72</definedName>
    <definedName name="_xlnm.Print_Area" localSheetId="6">'Sch-3'!$A$1:$P$93</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'Sch-1'!$A$17:$IV$71</definedName>
    <definedName name="Z_12A89170_4F84_482D_A3C5_7890082E7B73_.wvu.FilterData" localSheetId="5" hidden="1">'Sch-2'!$A$17:$AF$69</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'Sch-1'!$A$1:$N$75</definedName>
    <definedName name="Z_12A89170_4F84_482D_A3C5_7890082E7B73_.wvu.PrintArea" localSheetId="5" hidden="1">'Sch-2'!$A$1:$J$72</definedName>
    <definedName name="Z_12A89170_4F84_482D_A3C5_7890082E7B73_.wvu.PrintArea" localSheetId="6" hidden="1">'Sch-3'!$A$1:$P$93</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'Sch-1'!$15:$16</definedName>
    <definedName name="Z_12A89170_4F84_482D_A3C5_7890082E7B73_.wvu.PrintTitles" localSheetId="5" hidden="1">'Sch-2'!$15:$16</definedName>
    <definedName name="Z_12A89170_4F84_482D_A3C5_7890082E7B73_.wvu.PrintTitles" localSheetId="6" hidden="1">'Sch-3'!$15:$16</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'Sch-1'!$C$1:$C$71</definedName>
    <definedName name="Z_357C9841_BEC3_434B_AC63_C04FB4321BA3_.wvu.FilterData" localSheetId="5" hidden="1">'Sch-2'!$C$1:$C$74</definedName>
    <definedName name="Z_357C9841_BEC3_434B_AC63_C04FB4321BA3_.wvu.FilterData" localSheetId="6" hidden="1">'Sch-3'!$C$1:$C$95</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'Sch-1'!$A$1:$N$75</definedName>
    <definedName name="Z_357C9841_BEC3_434B_AC63_C04FB4321BA3_.wvu.PrintArea" localSheetId="5" hidden="1">'Sch-2'!$A$1:$J$74</definedName>
    <definedName name="Z_357C9841_BEC3_434B_AC63_C04FB4321BA3_.wvu.PrintArea" localSheetId="6" hidden="1">'Sch-3'!$A$1:$P$95</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'Sch-1'!$C$1:$C$71</definedName>
    <definedName name="Z_3C00DDA0_7DDE_4169_A739_550DAF5DCF8D_.wvu.FilterData" localSheetId="5" hidden="1">'Sch-2'!$C$1:$C$74</definedName>
    <definedName name="Z_3C00DDA0_7DDE_4169_A739_550DAF5DCF8D_.wvu.FilterData" localSheetId="6" hidden="1">'Sch-3'!$C$1:$C$95</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'Sch-1'!$A$1:$N$75</definedName>
    <definedName name="Z_3C00DDA0_7DDE_4169_A739_550DAF5DCF8D_.wvu.PrintArea" localSheetId="5" hidden="1">'Sch-2'!$A$1:$J$74</definedName>
    <definedName name="Z_3C00DDA0_7DDE_4169_A739_550DAF5DCF8D_.wvu.PrintArea" localSheetId="6" hidden="1">'Sch-3'!$A$1:$P$95</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'Sch-1'!$16:$71</definedName>
    <definedName name="Z_497EA202_A8B8_45C5_9E6C_C3CD104F3979_.wvu.FilterData" localSheetId="5" hidden="1">'Sch-2'!$A$16:$AF$69</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'Sch-1'!$A$1:$N$75</definedName>
    <definedName name="Z_497EA202_A8B8_45C5_9E6C_C3CD104F3979_.wvu.PrintArea" localSheetId="5" hidden="1">'Sch-2'!$A$1:$J$72</definedName>
    <definedName name="Z_497EA202_A8B8_45C5_9E6C_C3CD104F3979_.wvu.PrintArea" localSheetId="6" hidden="1">'Sch-3'!$A$1:$P$93</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'Sch-1'!$15:$16</definedName>
    <definedName name="Z_497EA202_A8B8_45C5_9E6C_C3CD104F3979_.wvu.PrintTitles" localSheetId="5" hidden="1">'Sch-2'!$15:$16</definedName>
    <definedName name="Z_497EA202_A8B8_45C5_9E6C_C3CD104F3979_.wvu.PrintTitles" localSheetId="6" hidden="1">'Sch-3'!$15:$16</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'Sch-1'!$A$17:$IV$71</definedName>
    <definedName name="Z_63D51328_7CBC_4A1E_B96D_BAE91416501B_.wvu.FilterData" localSheetId="5" hidden="1">'Sch-2'!$A$17:$AF$69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'Sch-1'!$A$1:$N$75</definedName>
    <definedName name="Z_63D51328_7CBC_4A1E_B96D_BAE91416501B_.wvu.PrintArea" localSheetId="5" hidden="1">'Sch-2'!$A$1:$J$72</definedName>
    <definedName name="Z_63D51328_7CBC_4A1E_B96D_BAE91416501B_.wvu.PrintArea" localSheetId="6" hidden="1">'Sch-3'!$A$1:$P$93</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'Sch-1'!$A$17:$IV$71</definedName>
    <definedName name="Z_7AB1F867_F01E_4EB9_A93D_DDCFDB9AA444_.wvu.FilterData" localSheetId="5" hidden="1">'Sch-2'!$A$17:$AF$69</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'Sch-1'!$A$1:$N$75</definedName>
    <definedName name="Z_7AB1F867_F01E_4EB9_A93D_DDCFDB9AA444_.wvu.PrintArea" localSheetId="5" hidden="1">'Sch-2'!$A$1:$J$72</definedName>
    <definedName name="Z_7AB1F867_F01E_4EB9_A93D_DDCFDB9AA444_.wvu.PrintArea" localSheetId="6" hidden="1">'Sch-3'!$A$1:$P$93</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'Sch-1'!$15:$16</definedName>
    <definedName name="Z_7AB1F867_F01E_4EB9_A93D_DDCFDB9AA444_.wvu.PrintTitles" localSheetId="5" hidden="1">'Sch-2'!$15:$16</definedName>
    <definedName name="Z_7AB1F867_F01E_4EB9_A93D_DDCFDB9AA444_.wvu.PrintTitles" localSheetId="6" hidden="1">'Sch-3'!$15:$16</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'Sch-1'!$16:$71</definedName>
    <definedName name="Z_99CA2F10_F926_46DC_8609_4EAE5B9F3585_.wvu.FilterData" localSheetId="5" hidden="1">'Sch-2'!$A$16:$AF$69</definedName>
    <definedName name="Z_99CA2F10_F926_46DC_8609_4EAE5B9F3585_.wvu.FilterData" localSheetId="6" hidden="1">'Sch-3'!$A$16:$AE$87</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'Sch-1'!$A$1:$N$75</definedName>
    <definedName name="Z_99CA2F10_F926_46DC_8609_4EAE5B9F3585_.wvu.PrintArea" localSheetId="5" hidden="1">'Sch-2'!$A$1:$J$72</definedName>
    <definedName name="Z_99CA2F10_F926_46DC_8609_4EAE5B9F3585_.wvu.PrintArea" localSheetId="6" hidden="1">'Sch-3'!$A$1:$P$93</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'Sch-1'!$C$1:$C$71</definedName>
    <definedName name="Z_B96E710B_6DD7_4DE1_95AB_C9EE060CD030_.wvu.FilterData" localSheetId="5" hidden="1">'Sch-2'!$C$1:$C$74</definedName>
    <definedName name="Z_B96E710B_6DD7_4DE1_95AB_C9EE060CD030_.wvu.FilterData" localSheetId="6" hidden="1">'Sch-3'!$C$1:$C$95</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'Sch-1'!$A$1:$N$75</definedName>
    <definedName name="Z_B96E710B_6DD7_4DE1_95AB_C9EE060CD030_.wvu.PrintArea" localSheetId="5" hidden="1">'Sch-2'!$A$1:$J$74</definedName>
    <definedName name="Z_B96E710B_6DD7_4DE1_95AB_C9EE060CD030_.wvu.PrintArea" localSheetId="6" hidden="1">'Sch-3'!$A$1:$P$95</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'Sch-1'!$16:$71</definedName>
    <definedName name="Z_CCA37BAE_906F_43D5_9FD9_B13563E4B9D7_.wvu.FilterData" localSheetId="5" hidden="1">'Sch-2'!$A$16:$AF$69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'Sch-1'!$A$1:$N$75</definedName>
    <definedName name="Z_CCA37BAE_906F_43D5_9FD9_B13563E4B9D7_.wvu.PrintArea" localSheetId="5" hidden="1">'Sch-2'!$A$1:$J$72</definedName>
    <definedName name="Z_CCA37BAE_906F_43D5_9FD9_B13563E4B9D7_.wvu.PrintArea" localSheetId="6" hidden="1">'Sch-3'!$A$1:$P$93</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'Sch-1'!$A$17:$IV$71</definedName>
    <definedName name="Z_D5521983_A70D_48A3_9506_C0263CBBC57D_.wvu.FilterData" localSheetId="5" hidden="1">'Sch-2'!$A$17:$AF$69</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'Sch-1'!$A$1:$N$75</definedName>
    <definedName name="Z_D5521983_A70D_48A3_9506_C0263CBBC57D_.wvu.PrintArea" localSheetId="5" hidden="1">'Sch-2'!$A$1:$J$72</definedName>
    <definedName name="Z_D5521983_A70D_48A3_9506_C0263CBBC57D_.wvu.PrintArea" localSheetId="6" hidden="1">'Sch-3'!$A$1:$P$93</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'Sch-1'!$15:$16</definedName>
    <definedName name="Z_D5521983_A70D_48A3_9506_C0263CBBC57D_.wvu.PrintTitles" localSheetId="5" hidden="1">'Sch-2'!$15:$16</definedName>
    <definedName name="Z_D5521983_A70D_48A3_9506_C0263CBBC57D_.wvu.PrintTitles" localSheetId="6" hidden="1">'Sch-3'!$15:$16</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tul Kumar Singh {अतुल कुमार सिंह} - Personal View" guid="{12A89170-4F84-482D-A3C5-7890082E7B73}" mergeInterval="0" personalView="1" maximized="1" xWindow="-8" yWindow="-8" windowWidth="1936" windowHeight="1056" tabRatio="786" activeSheetId="19"/>
    <customWorkbookView name="Atul Singh - Personal View" guid="{D5521983-A70D-48A3-9506-C0263CBBC57D}" mergeInterval="0" personalView="1" maximized="1" windowWidth="1362" windowHeight="542" tabRatio="786" activeSheetId="19"/>
    <customWorkbookView name="Rahul {Rahul} - Personal View" guid="{63D51328-7CBC-4A1E-B96D-BAE91416501B}" mergeInterval="0" personalView="1" maximized="1" xWindow="-8" yWindow="-8" windowWidth="1936" windowHeight="1056" tabRatio="786" activeSheetId="5"/>
    <customWorkbookView name="Umesh Kumar Yadav {उमेश कुमार यादव} - Personal View" guid="{CCA37BAE-906F-43D5-9FD9-B13563E4B9D7}" mergeInterval="0" personalView="1" maximized="1" windowWidth="1916" windowHeight="854" tabRatio="670" activeSheetId="7" showComments="commIndAndComment"/>
    <customWorkbookView name="Neelam Singh {नीलम सिंह} - Personal View" guid="{497EA202-A8B8-45C5-9E6C-C3CD104F3979}" mergeInterval="0" personalView="1" maximized="1" windowWidth="1916" windowHeight="853" tabRatio="786" activeSheetId="7"/>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Charanya Ambati {चरण्या अंबटि} - Personal View" guid="{7AB1F867-F01E-4EB9-A93D-DDCFDB9AA444}" mergeInterval="0" personalView="1" maximized="1" xWindow="-9" yWindow="-9" windowWidth="1938" windowHeight="1048" tabRatio="786" activeSheetId="19"/>
  </customWorkbookViews>
</workbook>
</file>

<file path=xl/calcChain.xml><?xml version="1.0" encoding="utf-8"?>
<calcChain xmlns="http://schemas.openxmlformats.org/spreadsheetml/2006/main">
  <c r="V86" i="7" l="1"/>
  <c r="P86" i="7"/>
  <c r="R86" i="7" s="1"/>
  <c r="V85" i="7"/>
  <c r="P85" i="7"/>
  <c r="Q85" i="7" s="1"/>
  <c r="V84" i="7"/>
  <c r="P84" i="7"/>
  <c r="R84" i="7" s="1"/>
  <c r="V83" i="7"/>
  <c r="P83" i="7"/>
  <c r="V82" i="7"/>
  <c r="P82" i="7"/>
  <c r="Q82" i="7" s="1"/>
  <c r="V81" i="7"/>
  <c r="P81" i="7"/>
  <c r="Q81" i="7" s="1"/>
  <c r="V80" i="7"/>
  <c r="P80" i="7"/>
  <c r="R80" i="7" s="1"/>
  <c r="V79" i="7"/>
  <c r="P79" i="7"/>
  <c r="V78" i="7"/>
  <c r="P78" i="7"/>
  <c r="R78" i="7" s="1"/>
  <c r="V77" i="7"/>
  <c r="P77" i="7"/>
  <c r="Q77" i="7" s="1"/>
  <c r="V76" i="7"/>
  <c r="P76" i="7"/>
  <c r="R76" i="7" s="1"/>
  <c r="V75" i="7"/>
  <c r="P75" i="7"/>
  <c r="V74" i="7"/>
  <c r="R74" i="7"/>
  <c r="P74" i="7"/>
  <c r="Q74" i="7" s="1"/>
  <c r="V73" i="7"/>
  <c r="P73" i="7"/>
  <c r="Q73" i="7" s="1"/>
  <c r="V72" i="7"/>
  <c r="P72" i="7"/>
  <c r="R72" i="7" s="1"/>
  <c r="V71" i="7"/>
  <c r="P71" i="7"/>
  <c r="V70" i="7"/>
  <c r="P70" i="7"/>
  <c r="R70" i="7" s="1"/>
  <c r="V69" i="7"/>
  <c r="P69" i="7"/>
  <c r="Q69" i="7" s="1"/>
  <c r="V68" i="7"/>
  <c r="P68" i="7"/>
  <c r="R68" i="7" s="1"/>
  <c r="V67" i="7"/>
  <c r="P67" i="7"/>
  <c r="V66" i="7"/>
  <c r="P66" i="7"/>
  <c r="R66" i="7" s="1"/>
  <c r="V65" i="7"/>
  <c r="P65" i="7"/>
  <c r="Q65" i="7" s="1"/>
  <c r="V64" i="7"/>
  <c r="P64" i="7"/>
  <c r="R64" i="7" s="1"/>
  <c r="V63" i="7"/>
  <c r="R63" i="7"/>
  <c r="P63" i="7"/>
  <c r="Q63" i="7" s="1"/>
  <c r="V62" i="7"/>
  <c r="P62" i="7"/>
  <c r="R62" i="7" s="1"/>
  <c r="V61" i="7"/>
  <c r="P61" i="7"/>
  <c r="Q61" i="7" s="1"/>
  <c r="V60" i="7"/>
  <c r="P60" i="7"/>
  <c r="R60" i="7" s="1"/>
  <c r="V59" i="7"/>
  <c r="P59" i="7"/>
  <c r="V58" i="7"/>
  <c r="P58" i="7"/>
  <c r="R58" i="7" s="1"/>
  <c r="V57" i="7"/>
  <c r="P57" i="7"/>
  <c r="Q57" i="7" s="1"/>
  <c r="V56" i="7"/>
  <c r="P56" i="7"/>
  <c r="R56" i="7" s="1"/>
  <c r="V55" i="7"/>
  <c r="P55" i="7"/>
  <c r="Q55" i="7" s="1"/>
  <c r="V54" i="7"/>
  <c r="P54" i="7"/>
  <c r="R54" i="7" s="1"/>
  <c r="V53" i="7"/>
  <c r="P53" i="7"/>
  <c r="V52" i="7"/>
  <c r="P52" i="7"/>
  <c r="R52" i="7" s="1"/>
  <c r="V51" i="7"/>
  <c r="P51" i="7"/>
  <c r="Q51" i="7" s="1"/>
  <c r="V50" i="7"/>
  <c r="P50" i="7"/>
  <c r="R50" i="7" s="1"/>
  <c r="V49" i="7"/>
  <c r="P49" i="7"/>
  <c r="Q49" i="7" s="1"/>
  <c r="V48" i="7"/>
  <c r="P48" i="7"/>
  <c r="R48" i="7" s="1"/>
  <c r="V47" i="7"/>
  <c r="P47" i="7"/>
  <c r="V46" i="7"/>
  <c r="P46" i="7"/>
  <c r="R46" i="7" s="1"/>
  <c r="V45" i="7"/>
  <c r="P45" i="7"/>
  <c r="R45" i="7" s="1"/>
  <c r="V44" i="7"/>
  <c r="P44" i="7"/>
  <c r="R44" i="7" s="1"/>
  <c r="V43" i="7"/>
  <c r="P43" i="7"/>
  <c r="V42" i="7"/>
  <c r="P42" i="7"/>
  <c r="R42" i="7" s="1"/>
  <c r="V41" i="7"/>
  <c r="P41" i="7"/>
  <c r="R41" i="7" s="1"/>
  <c r="V40" i="7"/>
  <c r="P40" i="7"/>
  <c r="R40" i="7" s="1"/>
  <c r="V39" i="7"/>
  <c r="P39" i="7"/>
  <c r="V38" i="7"/>
  <c r="P38" i="7"/>
  <c r="R38" i="7" s="1"/>
  <c r="V37" i="7"/>
  <c r="P37" i="7"/>
  <c r="Q37" i="7" s="1"/>
  <c r="V36" i="7"/>
  <c r="P36" i="7"/>
  <c r="Q36" i="7" s="1"/>
  <c r="V35" i="7"/>
  <c r="P35" i="7"/>
  <c r="V34" i="7"/>
  <c r="P34" i="7"/>
  <c r="R34" i="7" s="1"/>
  <c r="V33" i="7"/>
  <c r="P33" i="7"/>
  <c r="Q33" i="7" s="1"/>
  <c r="V32" i="7"/>
  <c r="P32" i="7"/>
  <c r="Q32" i="7" s="1"/>
  <c r="V31" i="7"/>
  <c r="P31" i="7"/>
  <c r="V30" i="7"/>
  <c r="P30" i="7"/>
  <c r="R30" i="7" s="1"/>
  <c r="V29" i="7"/>
  <c r="R29" i="7"/>
  <c r="P29" i="7"/>
  <c r="Q29" i="7" s="1"/>
  <c r="V28" i="7"/>
  <c r="P28" i="7"/>
  <c r="Q28" i="7" s="1"/>
  <c r="V27" i="7"/>
  <c r="P27" i="7"/>
  <c r="V26" i="7"/>
  <c r="P26" i="7"/>
  <c r="R26" i="7" s="1"/>
  <c r="V25" i="7"/>
  <c r="P25" i="7"/>
  <c r="R25" i="7" s="1"/>
  <c r="V24" i="7"/>
  <c r="P24" i="7"/>
  <c r="R24" i="7" s="1"/>
  <c r="V23" i="7"/>
  <c r="P23" i="7"/>
  <c r="V22" i="7"/>
  <c r="P22" i="7"/>
  <c r="R22" i="7" s="1"/>
  <c r="V21" i="7"/>
  <c r="P21" i="7"/>
  <c r="R21" i="7" s="1"/>
  <c r="V20" i="7"/>
  <c r="P20" i="7"/>
  <c r="R20" i="7" s="1"/>
  <c r="V19" i="7"/>
  <c r="P19" i="7"/>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T67" i="5"/>
  <c r="N67" i="5"/>
  <c r="T66" i="5"/>
  <c r="N66" i="5"/>
  <c r="O66" i="5" s="1"/>
  <c r="T65" i="5"/>
  <c r="N65" i="5"/>
  <c r="P65" i="5" s="1"/>
  <c r="T64" i="5"/>
  <c r="N64" i="5"/>
  <c r="P64" i="5" s="1"/>
  <c r="T63" i="5"/>
  <c r="N63" i="5"/>
  <c r="P63" i="5" s="1"/>
  <c r="T62" i="5"/>
  <c r="N62" i="5"/>
  <c r="O62" i="5" s="1"/>
  <c r="T61" i="5"/>
  <c r="N61" i="5"/>
  <c r="O61" i="5" s="1"/>
  <c r="T60" i="5"/>
  <c r="N60" i="5"/>
  <c r="P60" i="5" s="1"/>
  <c r="T59" i="5"/>
  <c r="N59" i="5"/>
  <c r="P59" i="5" s="1"/>
  <c r="T58" i="5"/>
  <c r="N58" i="5"/>
  <c r="O58" i="5" s="1"/>
  <c r="T57" i="5"/>
  <c r="N57" i="5"/>
  <c r="O57" i="5" s="1"/>
  <c r="T56" i="5"/>
  <c r="N56" i="5"/>
  <c r="O56" i="5" s="1"/>
  <c r="T55" i="5"/>
  <c r="N55" i="5"/>
  <c r="P55" i="5" s="1"/>
  <c r="T54" i="5"/>
  <c r="N54" i="5"/>
  <c r="O54" i="5" s="1"/>
  <c r="T53" i="5"/>
  <c r="N53" i="5"/>
  <c r="P53" i="5" s="1"/>
  <c r="T52" i="5"/>
  <c r="N52" i="5"/>
  <c r="T51" i="5"/>
  <c r="N51" i="5"/>
  <c r="P51" i="5" s="1"/>
  <c r="T50" i="5"/>
  <c r="N50" i="5"/>
  <c r="O50" i="5" s="1"/>
  <c r="T49" i="5"/>
  <c r="N49" i="5"/>
  <c r="O49" i="5" s="1"/>
  <c r="T48" i="5"/>
  <c r="N48" i="5"/>
  <c r="O48" i="5" s="1"/>
  <c r="T47" i="5"/>
  <c r="N47" i="5"/>
  <c r="P47" i="5" s="1"/>
  <c r="T46" i="5"/>
  <c r="N46" i="5"/>
  <c r="O46" i="5" s="1"/>
  <c r="T45" i="5"/>
  <c r="N45" i="5"/>
  <c r="O45" i="5" s="1"/>
  <c r="T44" i="5"/>
  <c r="O44" i="5"/>
  <c r="N44" i="5"/>
  <c r="P44" i="5" s="1"/>
  <c r="T43" i="5"/>
  <c r="N43" i="5"/>
  <c r="P43" i="5" s="1"/>
  <c r="T42" i="5"/>
  <c r="N42" i="5"/>
  <c r="O42" i="5" s="1"/>
  <c r="T41" i="5"/>
  <c r="N41" i="5"/>
  <c r="T40" i="5"/>
  <c r="N40" i="5"/>
  <c r="P40" i="5" s="1"/>
  <c r="T39" i="5"/>
  <c r="N39" i="5"/>
  <c r="P39" i="5" s="1"/>
  <c r="T38" i="5"/>
  <c r="N38" i="5"/>
  <c r="O38" i="5" s="1"/>
  <c r="T37" i="5"/>
  <c r="N37" i="5"/>
  <c r="P37" i="5" s="1"/>
  <c r="T36" i="5"/>
  <c r="N36" i="5"/>
  <c r="P36" i="5" s="1"/>
  <c r="T35" i="5"/>
  <c r="N35" i="5"/>
  <c r="P35" i="5" s="1"/>
  <c r="T34" i="5"/>
  <c r="N34" i="5"/>
  <c r="O34" i="5" s="1"/>
  <c r="T33" i="5"/>
  <c r="N33" i="5"/>
  <c r="O33" i="5" s="1"/>
  <c r="T32" i="5"/>
  <c r="N32" i="5"/>
  <c r="O32" i="5" s="1"/>
  <c r="T31" i="5"/>
  <c r="N31" i="5"/>
  <c r="P31" i="5" s="1"/>
  <c r="T30" i="5"/>
  <c r="N30" i="5"/>
  <c r="O30" i="5" s="1"/>
  <c r="T29" i="5"/>
  <c r="N29" i="5"/>
  <c r="O29" i="5" s="1"/>
  <c r="T28" i="5"/>
  <c r="N28" i="5"/>
  <c r="P28" i="5" s="1"/>
  <c r="T27" i="5"/>
  <c r="N27" i="5"/>
  <c r="P27" i="5" s="1"/>
  <c r="T26" i="5"/>
  <c r="N26" i="5"/>
  <c r="O26" i="5" s="1"/>
  <c r="T25" i="5"/>
  <c r="N25" i="5"/>
  <c r="T24" i="5"/>
  <c r="N24" i="5"/>
  <c r="P24" i="5" s="1"/>
  <c r="T23" i="5"/>
  <c r="N23" i="5"/>
  <c r="O23" i="5" s="1"/>
  <c r="T22" i="5"/>
  <c r="N22" i="5"/>
  <c r="O22" i="5" s="1"/>
  <c r="T21" i="5"/>
  <c r="N21" i="5"/>
  <c r="P21" i="5" s="1"/>
  <c r="T20" i="5"/>
  <c r="N20" i="5"/>
  <c r="P20" i="5" s="1"/>
  <c r="R33" i="7" l="1"/>
  <c r="Q48" i="7"/>
  <c r="R37" i="7"/>
  <c r="Q62" i="7"/>
  <c r="Q78" i="7"/>
  <c r="Q25" i="7"/>
  <c r="R82" i="7"/>
  <c r="Q70" i="7"/>
  <c r="Q24" i="7"/>
  <c r="R32" i="7"/>
  <c r="Q40" i="7"/>
  <c r="Q41" i="7"/>
  <c r="Q44" i="7"/>
  <c r="Q45" i="7"/>
  <c r="Q52" i="7"/>
  <c r="Q66" i="7"/>
  <c r="Q86" i="7"/>
  <c r="R28" i="7"/>
  <c r="R36" i="7"/>
  <c r="P32" i="5"/>
  <c r="Q21" i="7"/>
  <c r="R49" i="7"/>
  <c r="Q58" i="7"/>
  <c r="Q20" i="7"/>
  <c r="Q54" i="7"/>
  <c r="R69" i="7"/>
  <c r="R73" i="7"/>
  <c r="R77" i="7"/>
  <c r="R81" i="7"/>
  <c r="R85" i="7"/>
  <c r="R51" i="7"/>
  <c r="R57" i="7"/>
  <c r="R65" i="7"/>
  <c r="Q50" i="7"/>
  <c r="Q56" i="7"/>
  <c r="Q60" i="7"/>
  <c r="Q64" i="7"/>
  <c r="Q68" i="7"/>
  <c r="Q72" i="7"/>
  <c r="Q76" i="7"/>
  <c r="Q80" i="7"/>
  <c r="Q84" i="7"/>
  <c r="R19" i="7"/>
  <c r="Q19" i="7"/>
  <c r="R35" i="7"/>
  <c r="Q35" i="7"/>
  <c r="Q59" i="7"/>
  <c r="R59" i="7"/>
  <c r="R31" i="7"/>
  <c r="Q31" i="7"/>
  <c r="Q47" i="7"/>
  <c r="R47" i="7"/>
  <c r="Q53" i="7"/>
  <c r="R53" i="7"/>
  <c r="R27" i="7"/>
  <c r="Q27" i="7"/>
  <c r="R43" i="7"/>
  <c r="Q43" i="7"/>
  <c r="Q23" i="7"/>
  <c r="R23" i="7"/>
  <c r="Q39" i="7"/>
  <c r="R39" i="7"/>
  <c r="R67" i="7"/>
  <c r="Q67" i="7"/>
  <c r="Q22" i="7"/>
  <c r="Q26" i="7"/>
  <c r="Q30" i="7"/>
  <c r="Q34" i="7"/>
  <c r="Q38" i="7"/>
  <c r="Q42" i="7"/>
  <c r="Q46" i="7"/>
  <c r="R55" i="7"/>
  <c r="R61" i="7"/>
  <c r="R75" i="7"/>
  <c r="Q75" i="7"/>
  <c r="R83" i="7"/>
  <c r="Q83" i="7"/>
  <c r="R79" i="7"/>
  <c r="Q79" i="7"/>
  <c r="R71" i="7"/>
  <c r="Q71" i="7"/>
  <c r="O28" i="5"/>
  <c r="P54" i="5"/>
  <c r="P57" i="5"/>
  <c r="O60" i="5"/>
  <c r="O53" i="5"/>
  <c r="O25" i="5"/>
  <c r="P25" i="5"/>
  <c r="P52" i="5"/>
  <c r="O52" i="5"/>
  <c r="O41" i="5"/>
  <c r="P41" i="5"/>
  <c r="P67" i="5"/>
  <c r="O67" i="5"/>
  <c r="P29" i="5"/>
  <c r="O36" i="5"/>
  <c r="O37" i="5"/>
  <c r="P38" i="5"/>
  <c r="P46" i="5"/>
  <c r="P49" i="5"/>
  <c r="O64" i="5"/>
  <c r="O65" i="5"/>
  <c r="P66" i="5"/>
  <c r="P30" i="5"/>
  <c r="P33" i="5"/>
  <c r="P45" i="5"/>
  <c r="P48" i="5"/>
  <c r="P61" i="5"/>
  <c r="O27" i="5"/>
  <c r="O35" i="5"/>
  <c r="O43" i="5"/>
  <c r="O51" i="5"/>
  <c r="P22" i="5"/>
  <c r="P23" i="5"/>
  <c r="P56" i="5"/>
  <c r="O21" i="5"/>
  <c r="P62" i="5"/>
  <c r="O20" i="5"/>
  <c r="O24" i="5"/>
  <c r="P26" i="5"/>
  <c r="O31" i="5"/>
  <c r="O40" i="5"/>
  <c r="P42" i="5"/>
  <c r="O47" i="5"/>
  <c r="P58" i="5"/>
  <c r="O63" i="5"/>
  <c r="O59" i="5"/>
  <c r="P34" i="5"/>
  <c r="O39" i="5"/>
  <c r="P50" i="5"/>
  <c r="O55" i="5"/>
  <c r="T19" i="5" l="1"/>
  <c r="V18" i="7" l="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Q18" i="7" s="1"/>
  <c r="A1" i="6"/>
  <c r="C9" i="6"/>
  <c r="C10" i="6"/>
  <c r="C11" i="6"/>
  <c r="C12" i="6"/>
  <c r="J18" i="6"/>
  <c r="J19" i="6"/>
  <c r="A1" i="5"/>
  <c r="Z8" i="5"/>
  <c r="C9" i="5"/>
  <c r="B8" i="12" s="1"/>
  <c r="Z9" i="5"/>
  <c r="C10" i="5"/>
  <c r="C10" i="14" s="1"/>
  <c r="C11" i="5"/>
  <c r="B10" i="12" s="1"/>
  <c r="C12" i="5"/>
  <c r="C12" i="14" s="1"/>
  <c r="IV16" i="5"/>
  <c r="N18" i="5"/>
  <c r="O18" i="5" s="1"/>
  <c r="N19" i="5"/>
  <c r="P19" i="5" s="1"/>
  <c r="N69" i="5"/>
  <c r="C73" i="5"/>
  <c r="C71" i="6" s="1"/>
  <c r="K73" i="5"/>
  <c r="O92" i="7" s="1"/>
  <c r="N24" i="8" s="1"/>
  <c r="C74" i="5"/>
  <c r="C93" i="7" s="1"/>
  <c r="C24" i="8" s="1"/>
  <c r="K74" i="5"/>
  <c r="O93" i="7" s="1"/>
  <c r="N25" i="8" s="1"/>
  <c r="K6" i="4"/>
  <c r="Z7" i="5" s="1"/>
  <c r="AA6" i="4"/>
  <c r="B7" i="4"/>
  <c r="B9" i="4"/>
  <c r="A8" i="6" s="1"/>
  <c r="B10" i="4"/>
  <c r="B14" i="4"/>
  <c r="B15" i="4"/>
  <c r="H27" i="4"/>
  <c r="G27" i="4" s="1"/>
  <c r="B2" i="2"/>
  <c r="A3" i="13" s="1"/>
  <c r="F2" i="2"/>
  <c r="B3" i="2"/>
  <c r="A1" i="7" s="1"/>
  <c r="B50" i="19" l="1"/>
  <c r="B51" i="19"/>
  <c r="B53" i="19"/>
  <c r="E52" i="19"/>
  <c r="F49" i="19"/>
  <c r="A8" i="10"/>
  <c r="R18" i="7"/>
  <c r="B52" i="19"/>
  <c r="H5" i="20"/>
  <c r="H7" i="20" s="1"/>
  <c r="B11" i="12"/>
  <c r="Z10" i="5"/>
  <c r="I72" i="6"/>
  <c r="C11" i="14"/>
  <c r="A7" i="5"/>
  <c r="A7" i="13" s="1"/>
  <c r="B9" i="12"/>
  <c r="O19" i="5"/>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71" i="6"/>
  <c r="A8" i="9"/>
  <c r="A1" i="9"/>
  <c r="A1" i="12"/>
  <c r="AG7" i="19"/>
  <c r="AG8" i="19" s="1"/>
  <c r="C92" i="7"/>
  <c r="C23" i="8" s="1"/>
  <c r="A1" i="19"/>
  <c r="C72" i="6"/>
  <c r="P18" i="5"/>
  <c r="A1" i="8"/>
  <c r="A8" i="5"/>
  <c r="AG9" i="19"/>
  <c r="V87" i="7"/>
  <c r="J68" i="6"/>
  <c r="J7" i="15" s="1"/>
  <c r="I25" i="15" s="1"/>
  <c r="P87" i="7"/>
  <c r="J8" i="15" s="1"/>
  <c r="J26" i="15" s="1"/>
  <c r="T68" i="5"/>
  <c r="N68" i="5"/>
  <c r="B40" i="19" l="1"/>
  <c r="A7" i="7"/>
  <c r="A7" i="6"/>
  <c r="A7" i="9"/>
  <c r="A7" i="10"/>
  <c r="A7" i="8"/>
  <c r="B7" i="14"/>
  <c r="A7" i="11"/>
  <c r="B8" i="14"/>
  <c r="A7" i="12"/>
  <c r="I16" i="15"/>
  <c r="D17" i="11"/>
  <c r="E17" i="13" s="1"/>
  <c r="R87" i="7"/>
  <c r="D17" i="9" s="1"/>
  <c r="D19" i="11"/>
  <c r="E19" i="13" s="1"/>
  <c r="J16" i="15"/>
  <c r="P97" i="7"/>
  <c r="P68" i="5"/>
  <c r="D15" i="9" s="1"/>
  <c r="N70" i="5"/>
  <c r="J6" i="15"/>
  <c r="D15" i="11"/>
  <c r="E15" i="13" s="1"/>
  <c r="D19" i="9" l="1"/>
  <c r="H16" i="15"/>
  <c r="J9" i="15"/>
  <c r="J15" i="15" s="1"/>
  <c r="H24" i="15"/>
  <c r="D23" i="11" l="1"/>
  <c r="D28" i="11" s="1"/>
  <c r="J31" i="15"/>
  <c r="J32" i="15" s="1"/>
  <c r="J35" i="15"/>
  <c r="J36" i="15" s="1"/>
  <c r="H15" i="15"/>
  <c r="H31" i="15" s="1"/>
  <c r="H32" i="15" s="1"/>
  <c r="I15" i="15"/>
  <c r="S83" i="7" l="1"/>
  <c r="T83" i="7" s="1"/>
  <c r="U83" i="7" s="1"/>
  <c r="S79" i="7"/>
  <c r="T79" i="7" s="1"/>
  <c r="U79" i="7" s="1"/>
  <c r="S75" i="7"/>
  <c r="T75" i="7" s="1"/>
  <c r="U75" i="7" s="1"/>
  <c r="S71" i="7"/>
  <c r="T71" i="7" s="1"/>
  <c r="U71" i="7" s="1"/>
  <c r="S67" i="7"/>
  <c r="T67" i="7" s="1"/>
  <c r="U67" i="7" s="1"/>
  <c r="S63" i="7"/>
  <c r="T63" i="7" s="1"/>
  <c r="U63" i="7" s="1"/>
  <c r="S59" i="7"/>
  <c r="T59" i="7" s="1"/>
  <c r="U59" i="7" s="1"/>
  <c r="S55" i="7"/>
  <c r="T55" i="7" s="1"/>
  <c r="U55" i="7" s="1"/>
  <c r="S51" i="7"/>
  <c r="T51" i="7" s="1"/>
  <c r="U51" i="7" s="1"/>
  <c r="S84" i="7"/>
  <c r="T84" i="7" s="1"/>
  <c r="U84" i="7" s="1"/>
  <c r="S80" i="7"/>
  <c r="T80" i="7" s="1"/>
  <c r="U80" i="7" s="1"/>
  <c r="S76" i="7"/>
  <c r="T76" i="7" s="1"/>
  <c r="U76" i="7" s="1"/>
  <c r="S72" i="7"/>
  <c r="T72" i="7" s="1"/>
  <c r="U72" i="7" s="1"/>
  <c r="S68" i="7"/>
  <c r="T68" i="7" s="1"/>
  <c r="U68" i="7" s="1"/>
  <c r="S85" i="7"/>
  <c r="T85" i="7" s="1"/>
  <c r="U85" i="7" s="1"/>
  <c r="S81" i="7"/>
  <c r="T81" i="7" s="1"/>
  <c r="U81" i="7" s="1"/>
  <c r="S77" i="7"/>
  <c r="T77" i="7" s="1"/>
  <c r="U77" i="7" s="1"/>
  <c r="S73" i="7"/>
  <c r="T73" i="7" s="1"/>
  <c r="U73" i="7" s="1"/>
  <c r="S69" i="7"/>
  <c r="T69" i="7" s="1"/>
  <c r="U69" i="7" s="1"/>
  <c r="S65" i="7"/>
  <c r="T65" i="7" s="1"/>
  <c r="U65" i="7" s="1"/>
  <c r="S61" i="7"/>
  <c r="T61" i="7" s="1"/>
  <c r="U61" i="7" s="1"/>
  <c r="S57" i="7"/>
  <c r="T57" i="7" s="1"/>
  <c r="U57" i="7" s="1"/>
  <c r="S53" i="7"/>
  <c r="T53" i="7" s="1"/>
  <c r="U53" i="7" s="1"/>
  <c r="S49" i="7"/>
  <c r="T49" i="7" s="1"/>
  <c r="U49" i="7" s="1"/>
  <c r="S78" i="7"/>
  <c r="T78" i="7" s="1"/>
  <c r="U78" i="7" s="1"/>
  <c r="S56" i="7"/>
  <c r="T56" i="7" s="1"/>
  <c r="U56" i="7" s="1"/>
  <c r="S48" i="7"/>
  <c r="T48" i="7" s="1"/>
  <c r="U48" i="7" s="1"/>
  <c r="S43" i="7"/>
  <c r="T43" i="7" s="1"/>
  <c r="U43" i="7" s="1"/>
  <c r="S39" i="7"/>
  <c r="T39" i="7" s="1"/>
  <c r="U39" i="7" s="1"/>
  <c r="S35" i="7"/>
  <c r="T35" i="7" s="1"/>
  <c r="U35" i="7" s="1"/>
  <c r="S31" i="7"/>
  <c r="T31" i="7" s="1"/>
  <c r="U31" i="7" s="1"/>
  <c r="S27" i="7"/>
  <c r="T27" i="7" s="1"/>
  <c r="U27" i="7" s="1"/>
  <c r="S23" i="7"/>
  <c r="T23" i="7" s="1"/>
  <c r="U23" i="7" s="1"/>
  <c r="S19" i="7"/>
  <c r="T19" i="7" s="1"/>
  <c r="U19" i="7" s="1"/>
  <c r="S70" i="7"/>
  <c r="T70" i="7" s="1"/>
  <c r="U70" i="7" s="1"/>
  <c r="S64" i="7"/>
  <c r="T64" i="7" s="1"/>
  <c r="U64" i="7" s="1"/>
  <c r="S41" i="7"/>
  <c r="T41" i="7" s="1"/>
  <c r="U41" i="7" s="1"/>
  <c r="S25" i="7"/>
  <c r="T25" i="7" s="1"/>
  <c r="U25" i="7" s="1"/>
  <c r="S74" i="7"/>
  <c r="T74" i="7" s="1"/>
  <c r="U74" i="7" s="1"/>
  <c r="S82" i="7"/>
  <c r="T82" i="7" s="1"/>
  <c r="U82" i="7" s="1"/>
  <c r="S66" i="7"/>
  <c r="T66" i="7" s="1"/>
  <c r="U66" i="7" s="1"/>
  <c r="S60" i="7"/>
  <c r="T60" i="7" s="1"/>
  <c r="U60" i="7" s="1"/>
  <c r="S54" i="7"/>
  <c r="T54" i="7" s="1"/>
  <c r="U54" i="7" s="1"/>
  <c r="S47" i="7"/>
  <c r="T47" i="7" s="1"/>
  <c r="U47" i="7" s="1"/>
  <c r="S44" i="7"/>
  <c r="T44" i="7" s="1"/>
  <c r="U44" i="7" s="1"/>
  <c r="S40" i="7"/>
  <c r="T40" i="7" s="1"/>
  <c r="U40" i="7" s="1"/>
  <c r="S36" i="7"/>
  <c r="T36" i="7" s="1"/>
  <c r="U36" i="7" s="1"/>
  <c r="S32" i="7"/>
  <c r="T32" i="7" s="1"/>
  <c r="U32" i="7" s="1"/>
  <c r="S28" i="7"/>
  <c r="T28" i="7" s="1"/>
  <c r="U28" i="7" s="1"/>
  <c r="S24" i="7"/>
  <c r="T24" i="7" s="1"/>
  <c r="U24" i="7" s="1"/>
  <c r="S20" i="7"/>
  <c r="T20" i="7" s="1"/>
  <c r="U20" i="7" s="1"/>
  <c r="S86" i="7"/>
  <c r="T86" i="7" s="1"/>
  <c r="U86" i="7" s="1"/>
  <c r="S58" i="7"/>
  <c r="T58" i="7" s="1"/>
  <c r="U58" i="7" s="1"/>
  <c r="S52" i="7"/>
  <c r="T52" i="7" s="1"/>
  <c r="U52" i="7" s="1"/>
  <c r="S45" i="7"/>
  <c r="T45" i="7" s="1"/>
  <c r="U45" i="7" s="1"/>
  <c r="S37" i="7"/>
  <c r="T37" i="7" s="1"/>
  <c r="U37" i="7" s="1"/>
  <c r="S33" i="7"/>
  <c r="T33" i="7" s="1"/>
  <c r="U33" i="7" s="1"/>
  <c r="S29" i="7"/>
  <c r="T29" i="7" s="1"/>
  <c r="U29" i="7" s="1"/>
  <c r="S21" i="7"/>
  <c r="T21" i="7" s="1"/>
  <c r="U21" i="7" s="1"/>
  <c r="S46" i="7"/>
  <c r="T46" i="7" s="1"/>
  <c r="U46" i="7" s="1"/>
  <c r="S30" i="7"/>
  <c r="T30" i="7" s="1"/>
  <c r="U30" i="7" s="1"/>
  <c r="S62" i="7"/>
  <c r="T62" i="7" s="1"/>
  <c r="U62" i="7" s="1"/>
  <c r="S34" i="7"/>
  <c r="T34" i="7" s="1"/>
  <c r="U34" i="7" s="1"/>
  <c r="S50" i="7"/>
  <c r="T50" i="7" s="1"/>
  <c r="U50" i="7" s="1"/>
  <c r="S38" i="7"/>
  <c r="T38" i="7" s="1"/>
  <c r="U38" i="7" s="1"/>
  <c r="S22" i="7"/>
  <c r="T22" i="7" s="1"/>
  <c r="U22" i="7" s="1"/>
  <c r="S42" i="7"/>
  <c r="T42" i="7" s="1"/>
  <c r="U42" i="7" s="1"/>
  <c r="S26" i="7"/>
  <c r="T26" i="7" s="1"/>
  <c r="U26" i="7" s="1"/>
  <c r="F19" i="13"/>
  <c r="D19" i="13" s="1"/>
  <c r="S18" i="7"/>
  <c r="T18" i="7" s="1"/>
  <c r="U18" i="7" s="1"/>
  <c r="I35" i="15"/>
  <c r="I36" i="15" s="1"/>
  <c r="F17" i="13" s="1"/>
  <c r="D17" i="13" s="1"/>
  <c r="I31" i="15"/>
  <c r="I32" i="15" s="1"/>
  <c r="H35" i="15"/>
  <c r="H36" i="15" s="1"/>
  <c r="Q64" i="5" l="1"/>
  <c r="R64" i="5" s="1"/>
  <c r="S64" i="5" s="1"/>
  <c r="Q60" i="5"/>
  <c r="R60" i="5" s="1"/>
  <c r="S60" i="5" s="1"/>
  <c r="Q56" i="5"/>
  <c r="R56" i="5" s="1"/>
  <c r="S56" i="5" s="1"/>
  <c r="Q52" i="5"/>
  <c r="R52" i="5" s="1"/>
  <c r="S52" i="5" s="1"/>
  <c r="Q48" i="5"/>
  <c r="R48" i="5" s="1"/>
  <c r="S48" i="5" s="1"/>
  <c r="Q44" i="5"/>
  <c r="R44" i="5" s="1"/>
  <c r="S44" i="5" s="1"/>
  <c r="Q40" i="5"/>
  <c r="R40" i="5" s="1"/>
  <c r="S40" i="5" s="1"/>
  <c r="Q36" i="5"/>
  <c r="R36" i="5" s="1"/>
  <c r="S36" i="5" s="1"/>
  <c r="Q32" i="5"/>
  <c r="R32" i="5" s="1"/>
  <c r="S32" i="5" s="1"/>
  <c r="Q28" i="5"/>
  <c r="R28" i="5" s="1"/>
  <c r="S28" i="5" s="1"/>
  <c r="Q24" i="5"/>
  <c r="R24" i="5" s="1"/>
  <c r="S24" i="5" s="1"/>
  <c r="Q65" i="5"/>
  <c r="R65" i="5" s="1"/>
  <c r="S65" i="5" s="1"/>
  <c r="Q59" i="5"/>
  <c r="R59" i="5" s="1"/>
  <c r="S59" i="5" s="1"/>
  <c r="Q54" i="5"/>
  <c r="R54" i="5" s="1"/>
  <c r="S54" i="5" s="1"/>
  <c r="Q49" i="5"/>
  <c r="R49" i="5" s="1"/>
  <c r="S49" i="5" s="1"/>
  <c r="Q43" i="5"/>
  <c r="R43" i="5" s="1"/>
  <c r="S43" i="5" s="1"/>
  <c r="Q38" i="5"/>
  <c r="R38" i="5" s="1"/>
  <c r="S38" i="5" s="1"/>
  <c r="Q33" i="5"/>
  <c r="R33" i="5" s="1"/>
  <c r="S33" i="5" s="1"/>
  <c r="Q27" i="5"/>
  <c r="R27" i="5" s="1"/>
  <c r="S27" i="5" s="1"/>
  <c r="Q20" i="5"/>
  <c r="R20" i="5" s="1"/>
  <c r="S20" i="5" s="1"/>
  <c r="Q53" i="5"/>
  <c r="R53" i="5" s="1"/>
  <c r="S53" i="5" s="1"/>
  <c r="Q47" i="5"/>
  <c r="R47" i="5" s="1"/>
  <c r="S47" i="5" s="1"/>
  <c r="Q42" i="5"/>
  <c r="R42" i="5" s="1"/>
  <c r="S42" i="5" s="1"/>
  <c r="Q37" i="5"/>
  <c r="R37" i="5" s="1"/>
  <c r="S37" i="5" s="1"/>
  <c r="Q31" i="5"/>
  <c r="R31" i="5" s="1"/>
  <c r="S31" i="5" s="1"/>
  <c r="Q26" i="5"/>
  <c r="R26" i="5" s="1"/>
  <c r="S26" i="5" s="1"/>
  <c r="Q21" i="5"/>
  <c r="R21" i="5" s="1"/>
  <c r="S21" i="5" s="1"/>
  <c r="Q66" i="5"/>
  <c r="R66" i="5" s="1"/>
  <c r="S66" i="5" s="1"/>
  <c r="Q55" i="5"/>
  <c r="R55" i="5" s="1"/>
  <c r="S55" i="5" s="1"/>
  <c r="Q39" i="5"/>
  <c r="R39" i="5" s="1"/>
  <c r="S39" i="5" s="1"/>
  <c r="Q34" i="5"/>
  <c r="R34" i="5" s="1"/>
  <c r="S34" i="5" s="1"/>
  <c r="Q23" i="5"/>
  <c r="R23" i="5" s="1"/>
  <c r="S23" i="5" s="1"/>
  <c r="Q63" i="5"/>
  <c r="R63" i="5" s="1"/>
  <c r="S63" i="5" s="1"/>
  <c r="Q58" i="5"/>
  <c r="R58" i="5" s="1"/>
  <c r="S58" i="5" s="1"/>
  <c r="Q67" i="5"/>
  <c r="R67" i="5" s="1"/>
  <c r="S67" i="5" s="1"/>
  <c r="Q62" i="5"/>
  <c r="R62" i="5" s="1"/>
  <c r="S62" i="5" s="1"/>
  <c r="Q57" i="5"/>
  <c r="R57" i="5" s="1"/>
  <c r="S57" i="5" s="1"/>
  <c r="Q51" i="5"/>
  <c r="R51" i="5" s="1"/>
  <c r="S51" i="5" s="1"/>
  <c r="Q46" i="5"/>
  <c r="R46" i="5" s="1"/>
  <c r="S46" i="5" s="1"/>
  <c r="Q41" i="5"/>
  <c r="R41" i="5" s="1"/>
  <c r="S41" i="5" s="1"/>
  <c r="Q35" i="5"/>
  <c r="R35" i="5" s="1"/>
  <c r="S35" i="5" s="1"/>
  <c r="Q30" i="5"/>
  <c r="R30" i="5" s="1"/>
  <c r="S30" i="5" s="1"/>
  <c r="Q25" i="5"/>
  <c r="R25" i="5" s="1"/>
  <c r="S25" i="5" s="1"/>
  <c r="Q22" i="5"/>
  <c r="R22" i="5" s="1"/>
  <c r="S22" i="5" s="1"/>
  <c r="Q61" i="5"/>
  <c r="R61" i="5" s="1"/>
  <c r="S61" i="5" s="1"/>
  <c r="Q50" i="5"/>
  <c r="R50" i="5" s="1"/>
  <c r="S50" i="5" s="1"/>
  <c r="Q45" i="5"/>
  <c r="R45" i="5" s="1"/>
  <c r="S45" i="5" s="1"/>
  <c r="Q29" i="5"/>
  <c r="R29" i="5" s="1"/>
  <c r="S29" i="5" s="1"/>
  <c r="F15" i="13"/>
  <c r="D15" i="13" s="1"/>
  <c r="Q19" i="5"/>
  <c r="R19" i="5" s="1"/>
  <c r="S19" i="5" s="1"/>
  <c r="Q18" i="5"/>
  <c r="R18" i="5" s="1"/>
  <c r="S18" i="5" s="1"/>
  <c r="U87" i="7"/>
  <c r="D17" i="10" s="1"/>
  <c r="S68" i="5" l="1"/>
  <c r="D15" i="10" s="1"/>
  <c r="D19" i="10" s="1"/>
  <c r="D23" i="13" s="1"/>
  <c r="D28" i="13" s="1"/>
  <c r="H18" i="19" s="1"/>
  <c r="R68"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<sst xmlns="http://schemas.openxmlformats.org/spreadsheetml/2006/main" count="1716" uniqueCount="631">
  <si>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</si>
  <si>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</si>
  <si>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</si>
  <si>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</si>
  <si>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</si>
  <si>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</si>
  <si>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</si>
  <si>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</si>
  <si>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</si>
  <si>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</si>
  <si>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</si>
  <si>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</si>
  <si>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</si>
  <si>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</si>
  <si>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</si>
  <si>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</si>
  <si>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</si>
  <si>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</si>
  <si>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</si>
  <si>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</si>
  <si>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</si>
  <si>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</si>
  <si>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</si>
  <si>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</si>
  <si>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</si>
  <si>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</si>
  <si>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</si>
  <si>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</si>
  <si>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</si>
  <si>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</si>
  <si>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</si>
  <si>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</si>
  <si>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</si>
  <si>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</si>
  <si>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</si>
  <si>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</si>
  <si>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</si>
  <si>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</si>
  <si>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</si>
  <si>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</si>
  <si>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</si>
  <si>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</si>
  <si>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</si>
  <si>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</si>
  <si>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</si>
  <si>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</si>
  <si>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</si>
  <si>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</si>
  <si>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</si>
  <si>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</si>
  <si>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</si>
  <si>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</si>
  <si>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</si>
  <si>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</si>
  <si>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</si>
  <si>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</si>
  <si>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</si>
  <si>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</si>
  <si>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</si>
  <si>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</si>
  <si>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</si>
  <si>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</si>
  <si>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</si>
  <si>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</si>
  <si>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</si>
  <si>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</si>
  <si>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</si>
  <si>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</si>
  <si>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</si>
  <si>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</si>
  <si>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</si>
  <si>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</si>
  <si>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</si>
  <si>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</si>
  <si>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</si>
  <si>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</si>
  <si>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</si>
  <si>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</si>
  <si>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</si>
  <si>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</si>
  <si>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</si>
  <si>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</si>
  <si>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</si>
  <si>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</si>
  <si>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</si>
  <si>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</si>
  <si>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</si>
  <si>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</si>
  <si>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</si>
  <si>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</si>
  <si>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</si>
  <si>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</si>
  <si>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</si>
  <si>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</si>
  <si>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</si>
  <si>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</si>
  <si>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</si>
  <si>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</si>
  <si>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</si>
  <si>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</si>
  <si>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</si>
  <si>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</si>
  <si>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</si>
  <si>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</si>
  <si>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</si>
  <si>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</si>
  <si>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</si>
  <si>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</si>
  <si>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</si>
  <si>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</si>
  <si>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</si>
  <si>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</si>
  <si>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</si>
  <si>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</si>
  <si>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</si>
  <si>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</si>
  <si>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</si>
  <si>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</si>
  <si>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</si>
  <si>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</si>
  <si>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</si>
  <si>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</si>
  <si>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</si>
  <si>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</si>
  <si>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</si>
  <si>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</si>
  <si>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</si>
  <si>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</si>
  <si>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</si>
  <si>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</si>
  <si>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</si>
  <si>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</si>
  <si>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</si>
  <si>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</si>
  <si>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</si>
  <si>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</si>
  <si>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</si>
  <si>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</si>
  <si>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</si>
  <si>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</si>
  <si>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</si>
  <si>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</si>
  <si>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</si>
  <si>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</si>
  <si>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</si>
  <si>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</si>
  <si>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</si>
  <si>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</si>
  <si>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</si>
  <si>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</si>
  <si>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</si>
  <si>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</si>
  <si>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</si>
  <si>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</si>
  <si>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</si>
  <si>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</si>
  <si>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</si>
  <si>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</si>
  <si>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</si>
  <si>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</si>
  <si>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</si>
  <si>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</si>
  <si>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</si>
  <si>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</si>
  <si>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</si>
  <si>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</si>
  <si>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</si>
  <si>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</si>
  <si>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</si>
  <si>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</si>
  <si>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</si>
  <si>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</si>
  <si>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</si>
  <si>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</si>
  <si>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</si>
  <si>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</si>
  <si>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</si>
  <si>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</si>
  <si>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</si>
  <si>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</si>
  <si>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</si>
  <si>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</si>
  <si>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</si>
  <si>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</si>
  <si>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</si>
  <si>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</si>
  <si>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</si>
  <si>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</si>
  <si>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</si>
  <si>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</si>
  <si>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</si>
  <si>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</si>
  <si>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</si>
  <si>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</si>
  <si>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</si>
  <si>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</si>
  <si>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</si>
  <si>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</si>
  <si>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</si>
  <si>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</si>
  <si>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</si>
  <si>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</si>
  <si>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</si>
  <si>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</si>
  <si>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</si>
  <si>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</si>
  <si>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</si>
  <si>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</si>
  <si>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</si>
  <si>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</si>
  <si>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</si>
  <si>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</si>
  <si>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</si>
  <si>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</si>
  <si>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</si>
  <si>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</si>
  <si>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</si>
  <si>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</si>
  <si>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</si>
  <si>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</si>
  <si>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</si>
  <si>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</si>
  <si>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</si>
  <si>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</si>
  <si>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</si>
  <si>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</si>
  <si>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</si>
  <si>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</si>
  <si>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</si>
  <si>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</si>
  <si>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</si>
  <si>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</si>
  <si>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</si>
  <si>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</si>
  <si>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</si>
  <si>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</si>
  <si>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</si>
  <si>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</si>
  <si>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</si>
  <si>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</si>
  <si>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</si>
  <si>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</si>
  <si>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</si>
  <si>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</si>
  <si>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</si>
  <si>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</si>
  <si>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</si>
  <si>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</si>
  <si>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</si>
  <si>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</si>
  <si>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</si>
  <si>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</si>
  <si>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</si>
  <si>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</si>
  <si>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</si>
  <si>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</si>
  <si>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</si>
  <si>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</si>
  <si>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</si>
  <si>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</si>
  <si>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</si>
  <si>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</si>
  <si>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</si>
  <si>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</si>
  <si>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</si>
  <si>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</si>
  <si>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</si>
  <si>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</si>
  <si>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</si>
  <si>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</si>
  <si>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</si>
  <si>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</si>
  <si>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</si>
  <si>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</si>
  <si>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</si>
  <si>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</si>
  <si>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</si>
  <si>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</si>
  <si>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</si>
  <si>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</si>
  <si>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</si>
  <si>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</si>
  <si>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</si>
  <si>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</si>
  <si>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</si>
  <si>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</si>
  <si>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</si>
  <si>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</si>
  <si>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</si>
  <si>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</si>
  <si>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</si>
  <si>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</si>
  <si>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</si>
  <si>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</si>
  <si>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</si>
  <si>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</si>
  <si>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</si>
  <si>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</si>
  <si>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</si>
  <si>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</si>
  <si>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MT </t>
  </si>
  <si>
    <t xml:space="preserve">EA </t>
  </si>
  <si>
    <t>SET</t>
  </si>
  <si>
    <t xml:space="preserve">KM </t>
  </si>
  <si>
    <t xml:space="preserve">M3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</si>
  <si>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</si>
  <si>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</si>
  <si>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</si>
  <si>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</si>
  <si>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</si>
  <si>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</si>
  <si>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</si>
  <si>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</si>
  <si>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</si>
  <si>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</si>
  <si>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</si>
  <si>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</si>
  <si>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</si>
  <si>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</si>
  <si>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</si>
  <si>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</si>
  <si>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</si>
  <si>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</si>
  <si>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</si>
  <si>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</si>
  <si>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</si>
  <si>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</si>
  <si>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</si>
  <si>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</si>
  <si>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</si>
  <si>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</si>
  <si>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</si>
  <si>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</si>
  <si>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</si>
  <si>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</si>
  <si>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</si>
  <si>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</si>
  <si>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</si>
  <si>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</si>
  <si>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</si>
  <si>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</si>
  <si>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</si>
  <si>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</si>
  <si>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</si>
  <si>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</si>
  <si>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</si>
  <si>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</si>
  <si>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</si>
  <si>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</si>
  <si>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</si>
  <si>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</si>
  <si>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</si>
  <si>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</si>
  <si>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</si>
  <si>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</si>
  <si>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</si>
  <si>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</si>
  <si>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</si>
  <si>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</si>
  <si>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</si>
  <si>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</si>
  <si>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</si>
  <si>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</si>
  <si>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</si>
  <si>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</si>
  <si>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</si>
  <si>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</si>
  <si>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</si>
  <si>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</si>
  <si>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</si>
  <si>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</si>
  <si>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</si>
  <si>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</si>
  <si>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</si>
  <si>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</si>
  <si>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</si>
  <si>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</si>
  <si>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</si>
  <si>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</si>
  <si>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</si>
  <si>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</si>
  <si>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</si>
  <si>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</si>
  <si>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</si>
  <si>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</si>
  <si>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</si>
  <si>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</si>
  <si>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</si>
  <si>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</si>
  <si>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</si>
  <si>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</si>
  <si>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</si>
  <si>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</si>
  <si>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</si>
  <si>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</si>
  <si>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</si>
  <si>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</si>
  <si>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</si>
  <si>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</si>
  <si>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</si>
  <si>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</si>
  <si>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</si>
  <si>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</si>
  <si>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</si>
  <si>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</si>
  <si>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</si>
  <si>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</si>
  <si>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</si>
  <si>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</si>
  <si>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</si>
  <si>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</si>
  <si>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</si>
  <si>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</si>
  <si>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</si>
  <si>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</si>
  <si>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</si>
  <si>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</si>
  <si>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</si>
  <si>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</si>
  <si>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</si>
  <si>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</si>
  <si>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</si>
  <si>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</si>
  <si>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</si>
  <si>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</si>
  <si>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</si>
  <si>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</si>
  <si>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</si>
  <si>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</si>
  <si>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</si>
  <si>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</si>
  <si>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</si>
  <si>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</si>
  <si>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</si>
  <si>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</si>
  <si>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</si>
  <si>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</si>
  <si>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</si>
  <si>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</si>
  <si>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</si>
  <si>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</si>
  <si>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</si>
  <si>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</si>
  <si>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</si>
  <si>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</si>
  <si>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</si>
  <si>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</si>
  <si>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</si>
  <si>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</si>
  <si>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</si>
  <si>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</si>
  <si>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</si>
  <si>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</si>
  <si>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</si>
  <si>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</si>
  <si>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</si>
  <si>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</si>
  <si>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</si>
  <si>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</si>
  <si>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</si>
  <si>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</si>
  <si>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</si>
  <si>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</si>
  <si>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</si>
  <si>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</si>
  <si>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</si>
  <si>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</si>
  <si>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</si>
  <si>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</si>
  <si>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</si>
  <si>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</si>
  <si>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</si>
  <si>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</si>
  <si>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</si>
  <si>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</si>
  <si>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</si>
  <si>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</si>
  <si>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Schedule-1</t>
  </si>
  <si>
    <t xml:space="preserve">M  </t>
  </si>
  <si>
    <t xml:space="preserve">M2 </t>
  </si>
  <si>
    <t>420 kV, 1 phase Bus Post Insulator (except for Line Traps)</t>
  </si>
  <si>
    <t>400kV Circuit Breaker Relay Panel without Auto Reclose (withAutomation)</t>
  </si>
  <si>
    <t>Augmentation of Substation automation System for 400kV Tie bay as perTechnical Specification</t>
  </si>
  <si>
    <t>Augmentation of Substation automation System for 400kV Main bay as perTechnical Specification</t>
  </si>
  <si>
    <t>Sub Lighting panel (outdoor) type SLP (Switchyard and Street Lighting)</t>
  </si>
  <si>
    <t xml:space="preserve">LS </t>
  </si>
  <si>
    <t>1.1kV grade Power Cables (PVCinsulated)along withlugs,glands,straight joints &amp;accessories,etc.</t>
  </si>
  <si>
    <t>1.1kV grade Control Cables (PVCinsulated) along withlugs,glands,straight joints &amp;accessories,etc.</t>
  </si>
  <si>
    <t>Fabrication, galvanising and supply ofStandard Pipe Structure - 400 kV,1-Phase,   SA including nuts, bolts,all type of washers, packplates, stepbolts and gusset plates excludingfoundation bolts</t>
  </si>
  <si>
    <t>Fabrication, galvanising and supply of 28mm dia foundation boltsincluding nuts, checknuts, washers and packplates.</t>
  </si>
  <si>
    <t>216kV Surge Arrester (1-phase)</t>
  </si>
  <si>
    <t>245 kV, 1 phase Bus Post Insulator (except for Line Traps)</t>
  </si>
  <si>
    <t>400kV Transformer Protection Panel (For both HV &amp; MV side)-(withAutomation)</t>
  </si>
  <si>
    <t>Augmentation of existing 400kV bus bar protection scheme.(No. of baysas per specification)-(with Automation)</t>
  </si>
  <si>
    <t>220kV Circuit Breaker Relay Panel without Auto Reclose (withAutomation)</t>
  </si>
  <si>
    <t>Augmentation of Substation automation System for 220kV bay as perTechnical Specification</t>
  </si>
  <si>
    <t>HVW spray system, Hydrant system and complete U/G &amp; O/G piping andaccessories etc. out side the pump house  for 500MVA , 400KV/220/33kV, 3-phase  Autotransformer</t>
  </si>
  <si>
    <t>Fabrication, galvanising and supply of Standard Pipe Structure - 220kV  SA including nuts, bolts, all type of washers, packplates, stepbolts and gusset plates excluding foundation bolts</t>
  </si>
  <si>
    <t>Spare-216kV Surge Arrester</t>
  </si>
  <si>
    <t>Spares-Substation Automation System</t>
  </si>
  <si>
    <t>Fabrication, galvanising and supply of  Equipment Support (Pipe)Structures to be designed during detailed engineering</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</si>
  <si>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</si>
  <si>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</si>
  <si>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400kV Circuit Breaker Relay Panel without Auto Reclose (with Automation)</t>
  </si>
  <si>
    <t>Augmentation of   Substation automation System for 400kV Main bay as per Technical Specification</t>
  </si>
  <si>
    <t>Augmentation of   Substation automation System for 400kV Tie bay as per Technical Specification</t>
  </si>
  <si>
    <t>40 mm MS rod for Main Earthmat</t>
  </si>
  <si>
    <t>Erection of Pipe Structure - 400 kV 1-Phase SA including nuts, bolts, all type of washers, packplates, step bolts and gusset platesexcluding foundation bolts</t>
  </si>
  <si>
    <t>Erection of Pipe Structure - 400 kV, 1-Phase,   BPI, (Excluding Wave Trap),  including nuts, bolts, all  type of washers,packplates, step bolts and gusset plates excluding foundation bolts</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</si>
  <si>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</si>
  <si>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</si>
  <si>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</si>
  <si>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</si>
  <si>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</si>
  <si>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</si>
  <si>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</si>
  <si>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</si>
  <si>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Antiweed treatment</t>
  </si>
  <si>
    <t>RCC culverts and cable trench crossings including supplying and laying hume pipe 250mm dia of grade (NP-3) excluding concrete as perspecification.</t>
  </si>
  <si>
    <t>RCC culverts and cable trench crossings including supplying and laying hume pipe 300mm dia of grade (NP-3) excluding concrete as perspecification.</t>
  </si>
  <si>
    <t>RCC culverts and cable trench crossings including supplying and laying hume pipe 450mm dia of grade (NP-3) excluding concrete as perspecification.</t>
  </si>
  <si>
    <t>Drain including culverts but excluding concrete &amp; reinforcement steel-Section A-A</t>
  </si>
  <si>
    <t>Drain including culverts but excluding concrete &amp; reinforcement steel-Section B-B</t>
  </si>
  <si>
    <t>Removing,cleaning and washing of existing stones and respreading of stones in switchyard excluding PCC</t>
  </si>
  <si>
    <t>Erection of 28mm dia foundation bolts including nuts, checknuts, washers and packplates.</t>
  </si>
  <si>
    <t>245 kV,1 phase Bus Post Insulator (except for Line Traps)</t>
  </si>
  <si>
    <t>400kV Transformer Protection Panel (For both HV &amp; MV side)-(with Automation)</t>
  </si>
  <si>
    <t>220kV Circuit Breaker Relay Panel without Auto Reclose (with Automation)</t>
  </si>
  <si>
    <t>Augmentation of   Substation automation System for 220kV bay as per Technical Specification</t>
  </si>
  <si>
    <t>HVW spray system, Hydrant system and complete U/G &amp; O/G piping and accessories etc. out side the pump house  for 500MVA ,400KV/220/33 kV, 3-phase  Autotransformer</t>
  </si>
  <si>
    <t>Erection of Pipe Structure - 220 kV 1-Phase SA including nuts, bolts, all type of washers, packplates, step bolts and gusset platesexcluding foundation bolts</t>
  </si>
  <si>
    <t xml:space="preserve">Erection of  Equipment Support (Pipe) Structures to be designed during detailed engineering.
</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</si>
  <si>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</si>
  <si>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</si>
  <si>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</si>
  <si>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</si>
  <si>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</si>
  <si>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</si>
  <si>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</si>
  <si>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</si>
  <si>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 xml:space="preserve">ILLUMINATION SYSTEM                     </t>
  </si>
  <si>
    <t>Augmentation of existing 220kV bus bar protection scheme.(No. of baysas per specification)-(with Automation)</t>
  </si>
  <si>
    <t>Providing and laying Plain Cement Concrete 1:5:10 (1 cement : 5 sand : 10 brick aggregate)</t>
  </si>
  <si>
    <t>External finishing / painting of fire wall (water proofing cement paint) (DSR 13.44.1)</t>
  </si>
  <si>
    <t>14.4.3  Providing, laying and fixing following dia RCC pipe NP2 class (light duty) in ground complete with RCC collars, jointingwith cement mortar 1:2 (1 cement : 2 fine sand) including trenching (75 cm deep) and refilling etc as required. : 250 mm dia</t>
  </si>
  <si>
    <t>Supplying, filling and compacting stone boulders mixed with sand under foundations, roads, cable trenches, drains etc in layers notexceeding 250mm thickness including ramming, watering compacting</t>
  </si>
  <si>
    <t>Augmentation of existing 220kV bus bar protection scheme.(No. of bays as per specification)-(with Automation)</t>
  </si>
  <si>
    <t>Schedule - 6 (after discount)</t>
  </si>
  <si>
    <t>Schedule - 5 (after discount)</t>
  </si>
  <si>
    <t xml:space="preserve">GIS Substation Package SS02 for extension of 400/220kV Kurukshetra GIS Substation associated with Augmentation of transformation capacity at 400/220kV Kurukshetra S/S &amp; Patiala S/S
</t>
  </si>
  <si>
    <t>ORIGINAL</t>
  </si>
  <si>
    <t>SS02</t>
  </si>
  <si>
    <t xml:space="preserve">5002002027/GIS-EXCLUDING/DOM/A04-CC CS-5   </t>
  </si>
  <si>
    <t xml:space="preserve">Extn of Kurukshetra S/S            </t>
  </si>
  <si>
    <t xml:space="preserve">420 KV GIS EQUIPMENT                    </t>
  </si>
  <si>
    <t xml:space="preserve">420 KV AIS EQUIPMENT                    </t>
  </si>
  <si>
    <t xml:space="preserve">400 KV ERECTION HARDWARE                </t>
  </si>
  <si>
    <t xml:space="preserve">RELAY PANELS                            </t>
  </si>
  <si>
    <t xml:space="preserve">SAS                                     </t>
  </si>
  <si>
    <t xml:space="preserve">FIRE PROTECTION SYSTEM                  </t>
  </si>
  <si>
    <t xml:space="preserve">POWER &amp; CONTROL CABLES                  </t>
  </si>
  <si>
    <t xml:space="preserve">STRUCTURES                              </t>
  </si>
  <si>
    <t xml:space="preserve">220KV GIS EQUIPMENT                     </t>
  </si>
  <si>
    <t xml:space="preserve">220KV AIS EQUIPMENT                     </t>
  </si>
  <si>
    <t xml:space="preserve">220kvERECTION HARDWARE                  </t>
  </si>
  <si>
    <t xml:space="preserve">MANDATORY SPARES (LOT)                  </t>
  </si>
  <si>
    <t xml:space="preserve">FOUNDATION BOLTS                        </t>
  </si>
  <si>
    <t>Controlled Switching Device for 420 kV, 3-ph Circuit Breaker</t>
  </si>
  <si>
    <t>420kV, 2000 A, 50 kA, SF6 GIS ICT feederbay module as per Section-Project,Technical specification</t>
  </si>
  <si>
    <t>420kV, 2000 A, 50 kA, SF6 GIS Tie baymodule(without PIR) as perSection-Project, Technicalspecification</t>
  </si>
  <si>
    <t>420KV, 4000A,50KA GIS BUSBAR MODULE EXTENSION</t>
  </si>
  <si>
    <t>420KV, 2000A, 50KA SF6 TO AIR BUSHING</t>
  </si>
  <si>
    <t>420kV, 2000A, 40kA, Single phase, SF6Gas Insulated Bus Duct (GIB) outsideGIS Hall alongwith associated supportstructure</t>
  </si>
  <si>
    <t>390kV Surge Arrester (1-Phase)</t>
  </si>
  <si>
    <t>Erection Hardware for 400kV I type layout for GIS terminationarrangement-Transformer bay as per technical specification</t>
  </si>
  <si>
    <t>Hydrant system, complete U/G piping and accessories etc. outside thePump House for Fire Protection of 400/220kV (Ext) Substation</t>
  </si>
  <si>
    <t>Lighting Panel type ACP-2 as per technical specification</t>
  </si>
  <si>
    <t>Lighting Fixture type-SF1 as per technical specification</t>
  </si>
  <si>
    <t>Lighting Fixture type-SF2 as per technical specification</t>
  </si>
  <si>
    <t>63A, 415V : Interlocked switch socket outdoor Receptacle (type RP) asper technical specifications</t>
  </si>
  <si>
    <t>Outdoor Power Receptacle (400A)</t>
  </si>
  <si>
    <t>1.1KV GRADE 3.5CX300 SQMM (XLPE) POWER CABLE</t>
  </si>
  <si>
    <t>Fabrication, galvanising and supply ofStd Pipe Structure - 400 kV, 1-Phase,BPI,  (Excluding Wave Trap), includingnuts, bolts, all type of washers,packplates, step bolts and gussetplates excluding foundation bolts</t>
  </si>
  <si>
    <t>245kV,1600A, 40kA,Single phase,  SF6 Gas Insulated Bus Duct(GIB) outside GIS Hall alongwith associated support structure</t>
  </si>
  <si>
    <t>245 KV, 3000 A, 40 KA, SF6 GIS BUS BAR MODULE EXTENSION AS PERSECTION-PROJECT, TECHNICAL SPECIFICATION</t>
  </si>
  <si>
    <t>245kV, 1600 A, 40 kA, SF6 GIS ICT feederbay module as per Section-Project,Technical specification</t>
  </si>
  <si>
    <t>245KV, 1600A, 40KA SINGLE PHASE SF6 TO AIR BUSHING</t>
  </si>
  <si>
    <t>Erection Hardware for 220kV DM-type layout for GIS terminationarrangement-Transformer bay as per technical specification</t>
  </si>
  <si>
    <t>Spares for Fire Protection System</t>
  </si>
  <si>
    <t>Spare-C &amp; R Panel</t>
  </si>
  <si>
    <t>Spare-420kV GIS</t>
  </si>
  <si>
    <t>Spare-245kV GIS</t>
  </si>
  <si>
    <t>Spares for 390kV Surge Arrester</t>
  </si>
  <si>
    <t xml:space="preserve">Extn of Kurukshetra S/S             </t>
  </si>
  <si>
    <t xml:space="preserve">Extn of Kurukshetra S/S        </t>
  </si>
  <si>
    <t xml:space="preserve">420 KV GIS EQUIPMENTS INSTALLATION      </t>
  </si>
  <si>
    <t xml:space="preserve">420 KV AIS EQUIPMENTS INSTALLATION      </t>
  </si>
  <si>
    <t xml:space="preserve">400 KV ERECTION HARDWARE INSTALLATION   </t>
  </si>
  <si>
    <t xml:space="preserve">RELAY PANELS INSTALLATION               </t>
  </si>
  <si>
    <t xml:space="preserve">SAS INSTALLATION                        </t>
  </si>
  <si>
    <t xml:space="preserve">ILLUMINATION SYSTEM INSTALLATION        </t>
  </si>
  <si>
    <t xml:space="preserve">POWER &amp; CONTROL CABLES INSTALLATION     </t>
  </si>
  <si>
    <t xml:space="preserve">STRUCTURE INSTALLATION                  </t>
  </si>
  <si>
    <t xml:space="preserve">FIRE PROTECTION                         </t>
  </si>
  <si>
    <t xml:space="preserve">220KV GIS EQUIPMENTS INSTALLATION       </t>
  </si>
  <si>
    <t xml:space="preserve">220KV AIS EQUIPMENTS INSTALLATION       </t>
  </si>
  <si>
    <t xml:space="preserve">220KV ERECTION HARDWARE INSTALLATION    </t>
  </si>
  <si>
    <t xml:space="preserve">CIVIL WORKS                             </t>
  </si>
  <si>
    <t>Extension of 420kV , 4000 A, 50 kA 3 -phase SF6 GIS bus bar</t>
  </si>
  <si>
    <t>420kV, 2000 A, 50 kA, 3-Phase SF6 GIS  ICT feeder bay module</t>
  </si>
  <si>
    <t>420kV, 2000 A, 50 kA, SF6 GIS Tie bay module(without PIR) as per Section-Project, Technical specification</t>
  </si>
  <si>
    <t>420KV, 2000A,50kA, SF6/AIR BUSHING</t>
  </si>
  <si>
    <t>420kV, 2000 Amps, 50kA Single phase SF6 Gas insulated bus duct outside GIS hall alongwith associated support structure</t>
  </si>
  <si>
    <t>420 kV Bus Post Insulator (Except for wave traps)</t>
  </si>
  <si>
    <t>Erection Hardware for 400kV I type layout for GIS termination arrangement-Transformer bay as per technical specification</t>
  </si>
  <si>
    <t>Augmentation of existing 400kV bus bar protection scheme</t>
  </si>
  <si>
    <t>63A, 415V : Interlocked switch socket outdoor Receptacle (type RP) as per technical specifications</t>
  </si>
  <si>
    <t>Outdoor Power Receptacle for oil filtration unit (400A)</t>
  </si>
  <si>
    <t>1.1kV grade 3.5Cx300 sqmm (XLPE) Power Cable</t>
  </si>
  <si>
    <t>Over Ground pipe from FFPH to Transformer for Hydrant System (extension)</t>
  </si>
  <si>
    <t>245kV, 1600A, 40kA Single phase SF6 to Air Bushing</t>
  </si>
  <si>
    <t>245kV,1600A, 40kA,1 phase,  SF6 Gas Insulated Bus Duct (GIB) outside GIS Hall alongwith associated support structure</t>
  </si>
  <si>
    <t>245kV, 1600 A, 40 kA, SF6 GIS  ICT feeder bay module</t>
  </si>
  <si>
    <t>245 kV, 3000 A, 40 kA, SF6 GIS Bus bar module Extension as per Section-Project, Technical specification</t>
  </si>
  <si>
    <t>Erection Hardware for 220kV DM-type layout for GIS termination arrangement-Transformer bay as per specification</t>
  </si>
  <si>
    <t>14.4.1  Providing, laying and fixing following dia RCC pipe NP2 class (light duty) in ground complete with RCC collars, jointingwith cement mortar 1:2 (1 cement : 2 fine sand) including trenching (75 cm deep) and refilling etc as required. :  100 mm dia</t>
  </si>
  <si>
    <t>Supplying and erecting dewatering pumps- 2 HP</t>
  </si>
  <si>
    <t>15.58 Demolishing R.C.C. work by mechanical means and stockpiling at designated locations and disposal of dismantled materials up toalead of 1 kilometre, stacking serviceable and unserviceable material separately including cutting reinforcement bars.</t>
  </si>
  <si>
    <t>62 mm thick cement concrete flooring with hardener along with Two coats of PU coating provided over the total area. Final coat of PUshall be applied after installation of equipments. Total thickness of PU coats shall be minimum 300 microns</t>
  </si>
  <si>
    <t>Dismantling &amp; Re-erection of existing fence including providing, adding and welding  additional length of pipe or angle as perexisting fence including repainting with red oxide/synthetic enamel paint and brick work etc complete matching with existing fence.Nothing extra shall be paid in this account. All type of concrete shall be measured and paid under relavent item.</t>
  </si>
  <si>
    <t>Total Ex-Works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</si>
</sst>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4">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000000"/>
      <name val="Calibri"/>
      <family val="2"/>
    </font>
    <font>
      <b/>
      <sz val="14"/>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2"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1">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2"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3" fillId="0" borderId="0" xfId="114" applyFont="1" applyBorder="1" applyAlignment="1" applyProtection="1">
      <alignment vertical="top"/>
      <protection hidden="1"/>
    </xf>
    <xf numFmtId="0" fontId="74" fillId="0" borderId="0" xfId="114" applyFont="1" applyBorder="1" applyAlignment="1" applyProtection="1">
      <alignment vertical="top"/>
      <protection hidden="1"/>
    </xf>
    <xf numFmtId="2" fontId="74" fillId="0" borderId="0" xfId="114" applyNumberFormat="1" applyFont="1" applyBorder="1" applyAlignment="1" applyProtection="1">
      <alignment vertical="top"/>
      <protection hidden="1"/>
    </xf>
    <xf numFmtId="174" fontId="73"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5"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6" fillId="0" borderId="9" xfId="0" applyFont="1" applyBorder="1" applyAlignment="1">
      <alignment horizontal="center" vertical="center" wrapText="1"/>
    </xf>
    <xf numFmtId="0" fontId="76"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5" fillId="10" borderId="9" xfId="0" applyFont="1" applyFill="1" applyBorder="1" applyAlignment="1">
      <alignment vertical="center" wrapText="1"/>
    </xf>
    <xf numFmtId="0" fontId="75" fillId="10" borderId="9" xfId="0" applyFont="1" applyFill="1" applyBorder="1" applyAlignment="1">
      <alignment horizontal="left" vertical="center" wrapText="1"/>
    </xf>
    <xf numFmtId="0" fontId="75" fillId="10" borderId="9" xfId="0" applyFont="1" applyFill="1" applyBorder="1" applyAlignment="1">
      <alignment horizontal="center" vertical="center" wrapText="1"/>
    </xf>
    <xf numFmtId="0" fontId="75" fillId="0" borderId="0" xfId="0" applyFont="1" applyAlignment="1" applyProtection="1">
      <alignment vertical="center" wrapText="1"/>
    </xf>
    <xf numFmtId="0" fontId="75" fillId="0" borderId="0" xfId="0" applyFont="1" applyAlignment="1" applyProtection="1">
      <alignment horizontal="center" vertical="center"/>
    </xf>
    <xf numFmtId="0" fontId="76" fillId="0" borderId="0" xfId="0" applyFont="1" applyAlignment="1" applyProtection="1">
      <alignment horizontal="center" vertical="center"/>
      <protection locked="0"/>
    </xf>
    <xf numFmtId="0" fontId="76" fillId="0" borderId="0" xfId="0" applyFont="1" applyAlignment="1">
      <alignment vertical="center"/>
    </xf>
    <xf numFmtId="0" fontId="4" fillId="0" borderId="0" xfId="0" applyFont="1" applyAlignment="1" applyProtection="1">
      <alignment horizontal="center" vertical="center"/>
    </xf>
    <xf numFmtId="0" fontId="76"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7" fillId="0" borderId="9" xfId="0" applyFont="1" applyFill="1" applyBorder="1" applyAlignment="1">
      <alignment horizontal="center" vertical="center" wrapText="1"/>
    </xf>
    <xf numFmtId="0" fontId="77"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5" fillId="0" borderId="9" xfId="0" applyFont="1" applyBorder="1" applyAlignment="1">
      <alignment vertical="center"/>
    </xf>
    <xf numFmtId="0" fontId="75" fillId="0" borderId="9" xfId="0" applyFont="1" applyBorder="1"/>
    <xf numFmtId="0" fontId="78" fillId="0" borderId="9" xfId="0" applyFont="1" applyBorder="1" applyAlignment="1">
      <alignment horizontal="center" vertical="center"/>
    </xf>
    <xf numFmtId="0" fontId="75"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7" fillId="11" borderId="9" xfId="0" applyFont="1" applyFill="1" applyBorder="1" applyAlignment="1">
      <alignment horizontal="center" vertical="top" wrapText="1"/>
    </xf>
    <xf numFmtId="0" fontId="77"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7" fillId="0" borderId="9" xfId="0" applyFont="1" applyBorder="1" applyAlignment="1">
      <alignment horizontal="center" vertical="top" wrapText="1"/>
    </xf>
    <xf numFmtId="0" fontId="77" fillId="0" borderId="9" xfId="0" applyFont="1" applyBorder="1" applyAlignment="1">
      <alignment vertical="top" wrapText="1"/>
    </xf>
    <xf numFmtId="0" fontId="76"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9" fillId="0" borderId="9" xfId="0" applyFont="1" applyBorder="1" applyAlignment="1">
      <alignment horizontal="center" vertical="center"/>
    </xf>
    <xf numFmtId="0" fontId="76" fillId="0" borderId="9" xfId="0" applyFont="1" applyBorder="1"/>
    <xf numFmtId="0" fontId="7" fillId="0" borderId="0" xfId="113" applyFont="1" applyAlignment="1" applyProtection="1">
      <alignment vertical="top"/>
      <protection hidden="1"/>
    </xf>
    <xf numFmtId="0" fontId="75"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5" fillId="3" borderId="14" xfId="109" applyFont="1" applyFill="1" applyBorder="1" applyAlignment="1" applyProtection="1">
      <alignment vertical="top" wrapText="1"/>
      <protection locked="0"/>
    </xf>
    <xf numFmtId="0" fontId="75" fillId="0" borderId="9" xfId="0" applyFont="1" applyFill="1" applyBorder="1" applyAlignment="1">
      <alignment vertical="top" wrapText="1"/>
    </xf>
    <xf numFmtId="0" fontId="73" fillId="0" borderId="0" xfId="0" applyFont="1" applyAlignment="1" applyProtection="1">
      <alignment horizontal="center" vertical="center"/>
    </xf>
    <xf numFmtId="0" fontId="78" fillId="0" borderId="0" xfId="0" applyFont="1" applyAlignment="1" applyProtection="1">
      <alignment horizontal="center" vertical="center"/>
    </xf>
    <xf numFmtId="0" fontId="75" fillId="0" borderId="0" xfId="0" applyFont="1" applyAlignment="1">
      <alignment horizontal="center" vertical="center"/>
    </xf>
    <xf numFmtId="0" fontId="75" fillId="0" borderId="9" xfId="0" applyFont="1" applyBorder="1" applyAlignment="1" applyProtection="1">
      <alignment horizontal="center" vertical="center"/>
    </xf>
    <xf numFmtId="0" fontId="75" fillId="0" borderId="0" xfId="0" applyFont="1" applyBorder="1" applyAlignment="1" applyProtection="1">
      <alignment horizontal="center" vertical="center"/>
    </xf>
    <xf numFmtId="0" fontId="75" fillId="0" borderId="0" xfId="0" applyFont="1" applyBorder="1" applyAlignment="1" applyProtection="1">
      <alignment vertical="center"/>
    </xf>
    <xf numFmtId="0" fontId="75" fillId="0" borderId="0" xfId="0" applyFont="1" applyBorder="1" applyAlignment="1" applyProtection="1">
      <alignment horizontal="center" vertical="center" wrapText="1"/>
    </xf>
    <xf numFmtId="0" fontId="75" fillId="0" borderId="9" xfId="0" applyFont="1" applyFill="1" applyBorder="1" applyAlignment="1">
      <alignment horizontal="center" vertical="top" wrapText="1"/>
    </xf>
    <xf numFmtId="164" fontId="75" fillId="3" borderId="18" xfId="8" applyFont="1" applyFill="1" applyBorder="1" applyAlignment="1" applyProtection="1">
      <alignment horizontal="right" vertical="top" wrapText="1"/>
      <protection locked="0"/>
    </xf>
    <xf numFmtId="164" fontId="75"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5"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5"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5"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5" fillId="0" borderId="9" xfId="0" applyFont="1" applyBorder="1" applyAlignment="1">
      <alignment horizontal="center" vertical="top" wrapText="1"/>
    </xf>
    <xf numFmtId="0" fontId="75"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5"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8"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80"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7" fillId="0" borderId="0" xfId="0" applyFont="1" applyAlignment="1" applyProtection="1">
      <alignment horizontal="center" vertical="center"/>
    </xf>
    <xf numFmtId="0" fontId="77"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81"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5" fillId="0" borderId="9" xfId="0" applyFont="1" applyBorder="1" applyAlignment="1" applyProtection="1">
      <alignment horizontal="right" vertical="center"/>
      <protection locked="0"/>
    </xf>
    <xf numFmtId="164" fontId="75" fillId="0" borderId="9" xfId="8" applyFont="1" applyBorder="1" applyAlignment="1">
      <alignment horizontal="right" vertical="center"/>
    </xf>
    <xf numFmtId="164" fontId="78" fillId="0" borderId="9" xfId="8" applyFont="1" applyBorder="1" applyAlignment="1">
      <alignment horizontal="right" vertical="center"/>
    </xf>
    <xf numFmtId="164" fontId="75" fillId="0" borderId="9" xfId="8" applyFont="1" applyBorder="1" applyAlignment="1" applyProtection="1">
      <alignment horizontal="right" vertical="center"/>
      <protection locked="0"/>
    </xf>
    <xf numFmtId="164" fontId="78" fillId="0" borderId="9" xfId="8" applyFont="1" applyBorder="1" applyAlignment="1" applyProtection="1">
      <alignment horizontal="right" vertical="center"/>
      <protection locked="0"/>
    </xf>
    <xf numFmtId="2" fontId="75"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5"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2"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5"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8"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5"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8"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5" fillId="0" borderId="16" xfId="0" applyFont="1" applyBorder="1" applyAlignment="1" applyProtection="1"/>
    <xf numFmtId="0" fontId="76" fillId="0" borderId="16" xfId="0" applyFont="1" applyBorder="1" applyAlignment="1" applyProtection="1"/>
    <xf numFmtId="0" fontId="77"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58" fillId="13" borderId="9" xfId="0" applyNumberFormat="1" applyFont="1" applyFill="1" applyBorder="1" applyAlignment="1" applyProtection="1">
      <alignment horizontal="center" vertical="center" wrapText="1"/>
    </xf>
    <xf numFmtId="0" fontId="58" fillId="13" borderId="18" xfId="0" applyNumberFormat="1" applyFont="1" applyFill="1" applyBorder="1" applyAlignment="1" applyProtection="1">
      <alignment horizontal="center" vertical="top"/>
    </xf>
    <xf numFmtId="0" fontId="82" fillId="13" borderId="0" xfId="0" applyFont="1" applyFill="1" applyBorder="1" applyAlignment="1">
      <alignment vertical="top"/>
    </xf>
    <xf numFmtId="0" fontId="58" fillId="13" borderId="9"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wrapText="1"/>
    </xf>
    <xf numFmtId="0" fontId="58" fillId="13" borderId="14" xfId="0" applyNumberFormat="1" applyFont="1" applyFill="1" applyBorder="1" applyAlignment="1" applyProtection="1">
      <alignment horizontal="center" vertical="top"/>
    </xf>
    <xf numFmtId="0" fontId="58" fillId="13" borderId="15" xfId="0" applyNumberFormat="1" applyFont="1" applyFill="1" applyBorder="1" applyAlignment="1" applyProtection="1">
      <alignment horizontal="center" vertical="top"/>
    </xf>
    <xf numFmtId="0" fontId="80" fillId="13" borderId="0" xfId="0" applyFont="1" applyFill="1" applyAlignment="1" applyProtection="1">
      <alignment horizontal="center" vertical="top"/>
    </xf>
    <xf numFmtId="0" fontId="58" fillId="13" borderId="25" xfId="0" applyNumberFormat="1" applyFont="1" applyFill="1" applyBorder="1" applyAlignment="1" applyProtection="1">
      <alignment horizontal="center" vertical="center" wrapText="1"/>
    </xf>
    <xf numFmtId="0" fontId="62" fillId="13" borderId="0" xfId="0" applyFont="1" applyFill="1" applyBorder="1" applyAlignment="1" applyProtection="1">
      <alignment vertical="center" wrapText="1"/>
    </xf>
    <xf numFmtId="0" fontId="62" fillId="13" borderId="0" xfId="0" applyFont="1" applyFill="1" applyAlignment="1" applyProtection="1">
      <alignment vertical="center" wrapText="1"/>
    </xf>
    <xf numFmtId="0" fontId="61" fillId="13" borderId="0" xfId="0" applyFont="1" applyFill="1" applyAlignment="1" applyProtection="1">
      <alignment vertical="center" wrapText="1"/>
    </xf>
    <xf numFmtId="0" fontId="33" fillId="13" borderId="9" xfId="0" applyNumberFormat="1" applyFont="1" applyFill="1" applyBorder="1" applyAlignment="1" applyProtection="1">
      <alignment horizontal="center" vertical="center"/>
    </xf>
    <xf numFmtId="0" fontId="33" fillId="13" borderId="9" xfId="0" applyNumberFormat="1" applyFont="1" applyFill="1" applyBorder="1" applyAlignment="1" applyProtection="1">
      <alignment horizontal="center" vertical="center" wrapText="1"/>
    </xf>
    <xf numFmtId="0" fontId="83" fillId="13" borderId="9" xfId="0" applyFont="1" applyFill="1" applyBorder="1" applyAlignment="1">
      <alignment horizontal="center" vertical="center" wrapText="1"/>
    </xf>
    <xf numFmtId="0" fontId="70" fillId="13" borderId="0" xfId="0" applyFont="1" applyFill="1" applyAlignment="1" applyProtection="1">
      <alignment vertical="center"/>
    </xf>
    <xf numFmtId="0" fontId="71" fillId="13" borderId="0" xfId="0" applyFont="1" applyFill="1" applyAlignment="1" applyProtection="1">
      <alignment vertical="center"/>
    </xf>
    <xf numFmtId="43" fontId="75"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7" fillId="13" borderId="9" xfId="0" applyNumberFormat="1" applyFont="1" applyFill="1" applyBorder="1" applyAlignment="1" applyProtection="1">
      <alignment vertical="top"/>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5" fillId="3" borderId="30" xfId="109" applyFont="1" applyFill="1" applyBorder="1" applyAlignment="1" applyProtection="1">
      <alignment horizontal="left" vertical="center"/>
      <protection locked="0"/>
    </xf>
    <xf numFmtId="0" fontId="75" fillId="3" borderId="59" xfId="109" applyFont="1" applyFill="1" applyBorder="1" applyAlignment="1" applyProtection="1">
      <alignment horizontal="left" vertical="center"/>
      <protection locked="0"/>
    </xf>
    <xf numFmtId="0" fontId="75"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5" fillId="3" borderId="24" xfId="109" applyFont="1" applyFill="1" applyBorder="1" applyAlignment="1" applyProtection="1">
      <alignment horizontal="left" vertical="center"/>
      <protection locked="0"/>
    </xf>
    <xf numFmtId="0" fontId="75" fillId="3" borderId="3" xfId="109" applyFont="1" applyFill="1" applyBorder="1" applyAlignment="1" applyProtection="1">
      <alignment horizontal="left" vertical="center"/>
      <protection locked="0"/>
    </xf>
    <xf numFmtId="0" fontId="75" fillId="3" borderId="25"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5" fillId="0" borderId="0" xfId="0" applyFont="1" applyAlignment="1" applyProtection="1">
      <alignment horizontal="left" vertical="center"/>
    </xf>
    <xf numFmtId="0" fontId="78" fillId="12" borderId="9" xfId="0" applyFont="1" applyFill="1" applyBorder="1" applyAlignment="1" applyProtection="1">
      <alignment horizontal="left" vertical="center"/>
    </xf>
    <xf numFmtId="0" fontId="78"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8" fillId="0" borderId="0" xfId="0" applyFont="1" applyBorder="1" applyAlignment="1" applyProtection="1">
      <alignment horizontal="left" vertical="center"/>
    </xf>
    <xf numFmtId="1" fontId="78"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5"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8"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165" fontId="1" fillId="0" borderId="0" xfId="115" applyNumberFormat="1" applyFont="1" applyFill="1" applyAlignment="1" applyProtection="1">
      <alignment horizontal="left" vertical="center"/>
      <protection hidden="1"/>
    </xf>
    <xf numFmtId="165" fontId="1" fillId="0" borderId="0" xfId="0" applyNumberFormat="1" applyFont="1" applyFill="1" applyBorder="1" applyAlignment="1" applyProtection="1">
      <alignment horizontal="left" vertical="center"/>
    </xf>
    <xf numFmtId="0" fontId="77" fillId="0" borderId="0" xfId="0" applyFont="1" applyAlignment="1" applyProtection="1">
      <alignment horizontal="left" vertical="center"/>
    </xf>
    <xf numFmtId="0" fontId="77" fillId="9" borderId="0" xfId="109" applyFont="1" applyFill="1" applyBorder="1" applyAlignment="1" applyProtection="1">
      <alignment horizontal="left" vertical="center" wrapText="1"/>
    </xf>
    <xf numFmtId="1" fontId="77" fillId="9" borderId="0" xfId="109" applyNumberFormat="1" applyFont="1" applyFill="1" applyBorder="1" applyAlignment="1" applyProtection="1">
      <alignment horizontal="left" vertical="center" wrapText="1"/>
    </xf>
    <xf numFmtId="0" fontId="77" fillId="9" borderId="0" xfId="109"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5" fillId="0" borderId="0" xfId="0" applyFont="1" applyAlignment="1" applyProtection="1">
      <alignment horizontal="left" vertical="center"/>
      <protection locked="0"/>
    </xf>
    <xf numFmtId="0" fontId="75" fillId="0" borderId="24" xfId="109" applyFont="1" applyFill="1" applyBorder="1" applyAlignment="1" applyProtection="1">
      <alignment horizontal="left" vertical="center" wrapText="1"/>
      <protection hidden="1"/>
    </xf>
    <xf numFmtId="0" fontId="75" fillId="0" borderId="25" xfId="109" applyFont="1" applyFill="1" applyBorder="1" applyAlignment="1" applyProtection="1">
      <alignment horizontal="left" vertical="center" wrapText="1"/>
      <protection hidden="1"/>
    </xf>
    <xf numFmtId="1" fontId="75" fillId="0" borderId="24" xfId="109" applyNumberFormat="1" applyFont="1" applyFill="1" applyBorder="1" applyAlignment="1" applyProtection="1">
      <alignment horizontal="left" vertical="center" wrapText="1"/>
      <protection hidden="1"/>
    </xf>
    <xf numFmtId="0" fontId="75" fillId="0" borderId="16" xfId="0" applyFont="1" applyBorder="1" applyAlignment="1">
      <alignment horizontal="left" vertical="top" wrapText="1"/>
    </xf>
    <xf numFmtId="0" fontId="75" fillId="0" borderId="0" xfId="0" applyFont="1" applyAlignment="1">
      <alignment horizontal="left" vertical="top" wrapText="1"/>
    </xf>
    <xf numFmtId="0" fontId="75" fillId="9" borderId="0" xfId="109" applyFont="1" applyFill="1" applyBorder="1" applyAlignment="1" applyProtection="1">
      <alignment horizontal="left" vertical="center"/>
    </xf>
    <xf numFmtId="0" fontId="78" fillId="0" borderId="24" xfId="0" applyFont="1" applyBorder="1" applyAlignment="1">
      <alignment horizontal="center" vertical="center"/>
    </xf>
    <xf numFmtId="0" fontId="78" fillId="0" borderId="3" xfId="0" applyFont="1" applyBorder="1" applyAlignment="1">
      <alignment horizontal="center" vertical="center"/>
    </xf>
    <xf numFmtId="0" fontId="78"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4"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hidden="1"/>
    </xf>
    <xf numFmtId="0" fontId="7" fillId="9" borderId="26" xfId="114" applyFont="1" applyFill="1" applyBorder="1" applyAlignment="1" applyProtection="1">
      <alignment horizontal="center"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hidden="1"/>
    </xf>
    <xf numFmtId="9" fontId="7" fillId="9" borderId="26" xfId="114" applyNumberFormat="1" applyFont="1" applyFill="1" applyBorder="1" applyAlignment="1" applyProtection="1">
      <alignment horizontal="center"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6" fillId="9" borderId="9" xfId="109" applyNumberFormat="1" applyFont="1" applyFill="1" applyBorder="1" applyAlignment="1" applyProtection="1">
      <alignment horizontal="left" vertical="center"/>
      <protection locked="0"/>
    </xf>
    <xf numFmtId="49" fontId="76" fillId="0" borderId="24" xfId="109" applyNumberFormat="1" applyFont="1" applyFill="1" applyBorder="1" applyAlignment="1" applyProtection="1">
      <alignment horizontal="left" vertical="center" wrapText="1"/>
      <protection hidden="1"/>
    </xf>
    <xf numFmtId="0" fontId="76" fillId="0" borderId="25" xfId="109" applyFont="1" applyFill="1" applyBorder="1" applyAlignment="1" applyProtection="1">
      <alignment horizontal="left" vertical="center" wrapText="1"/>
      <protection hidden="1"/>
    </xf>
    <xf numFmtId="0" fontId="76"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6"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2"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2"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5716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077765" y="277906"/>
          <a:ext cx="0" cy="1874744"/>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6F8F591-ACC8-4692-8ECB-B3DE8AA03CD6}" protected="1">
  <header guid="{B6F8F591-ACC8-4692-8ECB-B3DE8AA03CD6}" dateTime="2021-12-23T16:16:39" maxSheetId="23" userName="Atul Kumar Singh {अतुल कुमार सिंह}"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drawing" Target="../drawings/drawing6.xml"/><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drawing" Target="../drawings/drawing7.xml"/><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drawing" Target="../drawings/drawing8.xml"/><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9.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drawing" Target="../drawings/drawing9.xml"/><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9.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0" Type="http://schemas.openxmlformats.org/officeDocument/2006/relationships/printerSettings" Target="../printerSettings/printerSettings151.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60.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printerSettings" Target="../printerSettings/printerSettings163.bin"/><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71.bin"/><Relationship Id="rId3" Type="http://schemas.openxmlformats.org/officeDocument/2006/relationships/printerSettings" Target="../printerSettings/printerSettings166.bin"/><Relationship Id="rId7" Type="http://schemas.openxmlformats.org/officeDocument/2006/relationships/printerSettings" Target="../printerSettings/printerSettings170.bin"/><Relationship Id="rId12" Type="http://schemas.openxmlformats.org/officeDocument/2006/relationships/drawing" Target="../drawings/drawing10.xml"/><Relationship Id="rId2" Type="http://schemas.openxmlformats.org/officeDocument/2006/relationships/printerSettings" Target="../printerSettings/printerSettings165.bin"/><Relationship Id="rId1" Type="http://schemas.openxmlformats.org/officeDocument/2006/relationships/printerSettings" Target="../printerSettings/printerSettings164.bin"/><Relationship Id="rId6" Type="http://schemas.openxmlformats.org/officeDocument/2006/relationships/printerSettings" Target="../printerSettings/printerSettings169.bin"/><Relationship Id="rId11" Type="http://schemas.openxmlformats.org/officeDocument/2006/relationships/printerSettings" Target="../printerSettings/printerSettings174.bin"/><Relationship Id="rId5" Type="http://schemas.openxmlformats.org/officeDocument/2006/relationships/printerSettings" Target="../printerSettings/printerSettings168.bin"/><Relationship Id="rId10" Type="http://schemas.openxmlformats.org/officeDocument/2006/relationships/printerSettings" Target="../printerSettings/printerSettings173.bin"/><Relationship Id="rId4" Type="http://schemas.openxmlformats.org/officeDocument/2006/relationships/printerSettings" Target="../printerSettings/printerSettings167.bin"/><Relationship Id="rId9" Type="http://schemas.openxmlformats.org/officeDocument/2006/relationships/printerSettings" Target="../printerSettings/printerSettings17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12" Type="http://schemas.openxmlformats.org/officeDocument/2006/relationships/drawing" Target="../drawings/drawing11.xml"/><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11" Type="http://schemas.openxmlformats.org/officeDocument/2006/relationships/printerSettings" Target="../printerSettings/printerSettings185.bin"/><Relationship Id="rId5" Type="http://schemas.openxmlformats.org/officeDocument/2006/relationships/printerSettings" Target="../printerSettings/printerSettings179.bin"/><Relationship Id="rId10" Type="http://schemas.openxmlformats.org/officeDocument/2006/relationships/printerSettings" Target="../printerSettings/printerSettings184.bin"/><Relationship Id="rId4" Type="http://schemas.openxmlformats.org/officeDocument/2006/relationships/printerSettings" Target="../printerSettings/printerSettings178.bin"/><Relationship Id="rId9" Type="http://schemas.openxmlformats.org/officeDocument/2006/relationships/printerSettings" Target="../printerSettings/printerSettings183.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93.bin"/><Relationship Id="rId3" Type="http://schemas.openxmlformats.org/officeDocument/2006/relationships/printerSettings" Target="../printerSettings/printerSettings188.bin"/><Relationship Id="rId7" Type="http://schemas.openxmlformats.org/officeDocument/2006/relationships/printerSettings" Target="../printerSettings/printerSettings192.bin"/><Relationship Id="rId12" Type="http://schemas.openxmlformats.org/officeDocument/2006/relationships/drawing" Target="../drawings/drawing12.xml"/><Relationship Id="rId2" Type="http://schemas.openxmlformats.org/officeDocument/2006/relationships/printerSettings" Target="../printerSettings/printerSettings187.bin"/><Relationship Id="rId1" Type="http://schemas.openxmlformats.org/officeDocument/2006/relationships/printerSettings" Target="../printerSettings/printerSettings186.bin"/><Relationship Id="rId6" Type="http://schemas.openxmlformats.org/officeDocument/2006/relationships/printerSettings" Target="../printerSettings/printerSettings191.bin"/><Relationship Id="rId11" Type="http://schemas.openxmlformats.org/officeDocument/2006/relationships/printerSettings" Target="../printerSettings/printerSettings196.bin"/><Relationship Id="rId5" Type="http://schemas.openxmlformats.org/officeDocument/2006/relationships/printerSettings" Target="../printerSettings/printerSettings190.bin"/><Relationship Id="rId10" Type="http://schemas.openxmlformats.org/officeDocument/2006/relationships/printerSettings" Target="../printerSettings/printerSettings195.bin"/><Relationship Id="rId4" Type="http://schemas.openxmlformats.org/officeDocument/2006/relationships/printerSettings" Target="../printerSettings/printerSettings189.bin"/><Relationship Id="rId9" Type="http://schemas.openxmlformats.org/officeDocument/2006/relationships/printerSettings" Target="../printerSettings/printerSettings19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0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12" Type="http://schemas.openxmlformats.org/officeDocument/2006/relationships/drawing" Target="../drawings/drawing13.xml"/><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0" Type="http://schemas.openxmlformats.org/officeDocument/2006/relationships/printerSettings" Target="../printerSettings/printerSettings206.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15.bin"/><Relationship Id="rId3" Type="http://schemas.openxmlformats.org/officeDocument/2006/relationships/printerSettings" Target="../printerSettings/printerSettings210.bin"/><Relationship Id="rId7" Type="http://schemas.openxmlformats.org/officeDocument/2006/relationships/printerSettings" Target="../printerSettings/printerSettings214.bin"/><Relationship Id="rId2" Type="http://schemas.openxmlformats.org/officeDocument/2006/relationships/printerSettings" Target="../printerSettings/printerSettings209.bin"/><Relationship Id="rId1" Type="http://schemas.openxmlformats.org/officeDocument/2006/relationships/printerSettings" Target="../printerSettings/printerSettings208.bin"/><Relationship Id="rId6" Type="http://schemas.openxmlformats.org/officeDocument/2006/relationships/printerSettings" Target="../printerSettings/printerSettings213.bin"/><Relationship Id="rId5" Type="http://schemas.openxmlformats.org/officeDocument/2006/relationships/printerSettings" Target="../printerSettings/printerSettings212.bin"/><Relationship Id="rId4" Type="http://schemas.openxmlformats.org/officeDocument/2006/relationships/printerSettings" Target="../printerSettings/printerSettings21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drawing" Target="../drawings/drawing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drawing" Target="../drawings/drawing3.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drawing" Target="../drawings/drawing4.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11" Type="http://schemas.openxmlformats.org/officeDocument/2006/relationships/printerSettings" Target="../printerSettings/printerSettings88.bin"/><Relationship Id="rId5" Type="http://schemas.openxmlformats.org/officeDocument/2006/relationships/printerSettings" Target="../printerSettings/printerSettings82.bin"/><Relationship Id="rId10" Type="http://schemas.openxmlformats.org/officeDocument/2006/relationships/printerSettings" Target="../printerSettings/printerSettings87.bin"/><Relationship Id="rId4" Type="http://schemas.openxmlformats.org/officeDocument/2006/relationships/printerSettings" Target="../printerSettings/printerSettings81.bin"/><Relationship Id="rId9"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12" Type="http://schemas.openxmlformats.org/officeDocument/2006/relationships/drawing" Target="../drawings/drawing5.xml"/><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printerSettings" Target="../printerSettings/printerSettings99.bin"/><Relationship Id="rId5" Type="http://schemas.openxmlformats.org/officeDocument/2006/relationships/printerSettings" Target="../printerSettings/printerSettings93.bin"/><Relationship Id="rId10" Type="http://schemas.openxmlformats.org/officeDocument/2006/relationships/printerSettings" Target="../printerSettings/printerSettings98.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B7" sqref="B7"/>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68.25" customHeight="1">
      <c r="A1" s="31" t="s">
        <v>41</v>
      </c>
      <c r="B1" s="32" t="s">
        <v>549</v>
      </c>
      <c r="C1" s="33"/>
      <c r="D1" s="33"/>
      <c r="E1" s="33"/>
      <c r="F1" s="33"/>
      <c r="G1" s="33"/>
      <c r="H1" s="33"/>
    </row>
    <row r="2" spans="1:9">
      <c r="B2" s="35"/>
      <c r="I2" s="34" t="s">
        <v>265</v>
      </c>
    </row>
    <row r="3" spans="1:9">
      <c r="A3" s="34" t="s">
        <v>42</v>
      </c>
      <c r="B3" s="405" t="s">
        <v>551</v>
      </c>
      <c r="I3" s="34" t="s">
        <v>266</v>
      </c>
    </row>
    <row r="5" spans="1:9">
      <c r="A5" s="34" t="s">
        <v>43</v>
      </c>
      <c r="B5" s="446" t="s">
        <v>552</v>
      </c>
      <c r="C5" s="33"/>
      <c r="D5" s="33"/>
      <c r="E5" s="33"/>
      <c r="F5" s="33"/>
      <c r="G5" s="33"/>
      <c r="H5" s="33"/>
    </row>
    <row r="7" spans="1:9">
      <c r="B7" s="34" t="s">
        <v>550</v>
      </c>
    </row>
  </sheetData>
  <sheetProtection selectLockedCells="1" selectUnlockedCells="1"/>
  <customSheetViews>
    <customSheetView guid="{12A89170-4F84-482D-A3C5-7890082E7B73}" hiddenColumns="1" state="hidden">
      <selection activeCell="B7" sqref="B7"/>
      <pageMargins left="0.75" right="0.75" top="1" bottom="1" header="0.5" footer="0.5"/>
      <pageSetup orientation="portrait" r:id="rId1"/>
      <headerFooter alignWithMargins="0"/>
    </customSheetView>
    <customSheetView guid="{D5521983-A70D-48A3-9506-C0263CBBC57D}" hiddenColumns="1" state="hidden">
      <selection activeCell="B1" sqref="B1"/>
      <pageMargins left="0.75" right="0.75" top="1" bottom="1" header="0.5" footer="0.5"/>
      <pageSetup orientation="portrait" r:id="rId2"/>
      <headerFooter alignWithMargins="0"/>
    </customSheetView>
    <customSheetView guid="{63D51328-7CBC-4A1E-B96D-BAE91416501B}" hiddenColumns="1" state="hidden">
      <selection activeCell="B11" sqref="B11"/>
      <pageMargins left="0.75" right="0.75" top="1" bottom="1" header="0.5" footer="0.5"/>
      <pageSetup orientation="portrait" r:id="rId3"/>
      <headerFooter alignWithMargins="0"/>
    </customSheetView>
    <customSheetView guid="{CCA37BAE-906F-43D5-9FD9-B13563E4B9D7}" hiddenColumns="1" state="hidden">
      <selection activeCell="B12" sqref="B12"/>
      <pageMargins left="0.75" right="0.75" top="1" bottom="1" header="0.5" footer="0.5"/>
      <pageSetup orientation="portrait" r:id="rId4"/>
      <headerFooter alignWithMargins="0"/>
    </customSheetView>
    <customSheetView guid="{497EA202-A8B8-45C5-9E6C-C3CD104F3979}" hiddenColumns="1" state="hidden">
      <selection activeCell="B13" sqref="B13"/>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7AB1F867-F01E-4EB9-A93D-DDCFDB9AA444}" hiddenColumns="1" state="hidden">
      <selection activeCell="B1" sqref="B1"/>
      <pageMargins left="0.75" right="0.75" top="1" bottom="1" header="0.5" footer="0.5"/>
      <pageSetup orientation="portrait" r:id="rId10"/>
      <headerFooter alignWithMargins="0"/>
    </customSheetView>
  </customSheetViews>
  <pageMargins left="0.75" right="0.7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7"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 xml:space="preserve">5002002027/GIS-EXCLUDING/DOM/A04-CC CS-5   </v>
      </c>
      <c r="B1" s="82"/>
      <c r="C1" s="83"/>
      <c r="D1" s="83"/>
      <c r="E1" s="84" t="s">
        <v>548</v>
      </c>
    </row>
    <row r="2" spans="1:15" ht="8.1" customHeight="1">
      <c r="A2" s="87"/>
      <c r="B2" s="88"/>
      <c r="C2" s="89"/>
      <c r="D2" s="89"/>
      <c r="E2" s="90"/>
      <c r="F2" s="91"/>
    </row>
    <row r="3" spans="1:15" ht="111" customHeight="1">
      <c r="A3" s="872" t="str">
        <f>Cover!$B$2</f>
        <v xml:space="preserve">GIS Substation Package SS02 for extension of 400/220kV Kurukshetra GIS Substation associated with Augmentation of transformation capacity at 400/220kV Kurukshetra S/S &amp; Patiala S/S
</v>
      </c>
      <c r="B3" s="872"/>
      <c r="C3" s="872"/>
      <c r="D3" s="872"/>
      <c r="E3" s="872"/>
    </row>
    <row r="4" spans="1:15" ht="21.95" customHeight="1">
      <c r="A4" s="873" t="s">
        <v>129</v>
      </c>
      <c r="B4" s="873"/>
      <c r="C4" s="873"/>
      <c r="D4" s="873"/>
      <c r="E4" s="873"/>
    </row>
    <row r="5" spans="1:15" ht="12" customHeight="1">
      <c r="A5" s="92"/>
      <c r="B5" s="93"/>
      <c r="C5" s="93"/>
      <c r="D5" s="93"/>
      <c r="E5" s="93"/>
    </row>
    <row r="6" spans="1:15" ht="20.25" customHeight="1">
      <c r="A6" s="833" t="s">
        <v>353</v>
      </c>
      <c r="B6" s="833"/>
      <c r="C6" s="4"/>
      <c r="D6" s="93"/>
      <c r="E6" s="93"/>
    </row>
    <row r="7" spans="1:15" ht="18" customHeight="1">
      <c r="A7" s="838">
        <f>'Sch-1'!A7</f>
        <v>0</v>
      </c>
      <c r="B7" s="838"/>
      <c r="C7" s="838"/>
      <c r="D7" s="94" t="s">
        <v>1</v>
      </c>
    </row>
    <row r="8" spans="1:15" ht="18" customHeight="1">
      <c r="A8" s="834" t="str">
        <f>"Bidder’s Name and Address  (" &amp; MID('Names of Bidder'!B9,9, 20) &amp; ") :"</f>
        <v>Bidder’s Name and Address  (Sole Bidder) :</v>
      </c>
      <c r="B8" s="834"/>
      <c r="C8" s="834"/>
      <c r="D8" s="95" t="str">
        <f>'Sch-1'!K8</f>
        <v>Contract Services</v>
      </c>
    </row>
    <row r="9" spans="1:15" ht="18" customHeight="1">
      <c r="A9" s="462" t="s">
        <v>12</v>
      </c>
      <c r="B9" s="462" t="str">
        <f>IF('Names of Bidder'!D9=0, "", 'Names of Bidder'!D9)</f>
        <v/>
      </c>
      <c r="C9" s="112"/>
      <c r="D9" s="95" t="str">
        <f>'Sch-1'!K9</f>
        <v>Power Grid Corporation of India Ltd.,</v>
      </c>
    </row>
    <row r="10" spans="1:15" ht="18" customHeight="1">
      <c r="A10" s="462" t="s">
        <v>11</v>
      </c>
      <c r="B10" s="597" t="str">
        <f>IF('Names of Bidder'!D10=0, "", 'Names of Bidder'!D10)</f>
        <v/>
      </c>
      <c r="C10" s="112"/>
      <c r="D10" s="95" t="str">
        <f>'Sch-1'!K10</f>
        <v>"Saudamini", Plot No.-2</v>
      </c>
    </row>
    <row r="11" spans="1:15" ht="18" customHeight="1">
      <c r="A11" s="409"/>
      <c r="B11" s="597" t="str">
        <f>IF('Names of Bidder'!D11=0, "", 'Names of Bidder'!D11)</f>
        <v/>
      </c>
      <c r="C11" s="112"/>
      <c r="D11" s="95" t="str">
        <f>'Sch-1'!K11</f>
        <v xml:space="preserve">Sector-29, </v>
      </c>
    </row>
    <row r="12" spans="1:15" ht="18" customHeight="1">
      <c r="A12" s="409"/>
      <c r="B12" s="597" t="str">
        <f>IF('Names of Bidder'!D12=0, "", 'Names of Bidder'!D12)</f>
        <v/>
      </c>
      <c r="C12" s="112"/>
      <c r="D12" s="95" t="str">
        <f>'Sch-1'!K12</f>
        <v>Gurgaon (Haryana) - 122001</v>
      </c>
    </row>
    <row r="13" spans="1:15" ht="8.1" customHeight="1" thickBot="1"/>
    <row r="14" spans="1:15" ht="21.95" customHeight="1">
      <c r="A14" s="664" t="s">
        <v>130</v>
      </c>
      <c r="B14" s="874" t="s">
        <v>131</v>
      </c>
      <c r="C14" s="874"/>
      <c r="D14" s="875" t="s">
        <v>132</v>
      </c>
      <c r="E14" s="876"/>
      <c r="I14" s="883"/>
      <c r="J14" s="883"/>
      <c r="K14" s="883"/>
      <c r="M14" s="880"/>
      <c r="N14" s="880"/>
      <c r="O14" s="880"/>
    </row>
    <row r="15" spans="1:15" ht="24.75" customHeight="1">
      <c r="A15" s="665" t="s">
        <v>135</v>
      </c>
      <c r="B15" s="877" t="s">
        <v>328</v>
      </c>
      <c r="C15" s="877"/>
      <c r="D15" s="887">
        <f>'Sch-1'!S68</f>
        <v>0</v>
      </c>
      <c r="E15" s="888"/>
      <c r="I15" s="388"/>
      <c r="K15" s="388"/>
      <c r="M15" s="388"/>
      <c r="O15" s="97"/>
    </row>
    <row r="16" spans="1:15" ht="81" customHeight="1">
      <c r="A16" s="666"/>
      <c r="B16" s="869" t="s">
        <v>329</v>
      </c>
      <c r="C16" s="869"/>
      <c r="D16" s="889"/>
      <c r="E16" s="890"/>
      <c r="G16" s="98"/>
    </row>
    <row r="17" spans="1:15" ht="24.75" customHeight="1">
      <c r="A17" s="665" t="s">
        <v>137</v>
      </c>
      <c r="B17" s="877" t="s">
        <v>330</v>
      </c>
      <c r="C17" s="877"/>
      <c r="D17" s="878">
        <f>'Sch-3'!U87</f>
        <v>0</v>
      </c>
      <c r="E17" s="879"/>
      <c r="I17" s="388"/>
      <c r="K17" s="389"/>
      <c r="M17" s="388"/>
      <c r="O17" s="100"/>
    </row>
    <row r="18" spans="1:15" ht="81.75" customHeight="1">
      <c r="A18" s="666"/>
      <c r="B18" s="869" t="s">
        <v>331</v>
      </c>
      <c r="C18" s="869"/>
      <c r="D18" s="885"/>
      <c r="E18" s="886"/>
      <c r="G18" s="101"/>
      <c r="I18" s="390"/>
      <c r="M18" s="390"/>
    </row>
    <row r="19" spans="1:15" ht="33" customHeight="1" thickBot="1">
      <c r="A19" s="667"/>
      <c r="B19" s="668" t="s">
        <v>334</v>
      </c>
      <c r="C19" s="669"/>
      <c r="D19" s="867">
        <f>D15+D17</f>
        <v>0</v>
      </c>
      <c r="E19" s="868"/>
    </row>
    <row r="20" spans="1:15" ht="30" customHeight="1">
      <c r="A20" s="102"/>
      <c r="B20" s="102"/>
      <c r="C20" s="103"/>
      <c r="D20" s="102"/>
      <c r="E20" s="102"/>
    </row>
    <row r="21" spans="1:15" ht="30" customHeight="1">
      <c r="A21" s="104" t="s">
        <v>143</v>
      </c>
      <c r="B21" s="672" t="str">
        <f>'Sch-5'!B21</f>
        <v xml:space="preserve">  </v>
      </c>
      <c r="C21" s="103" t="s">
        <v>144</v>
      </c>
      <c r="D21" s="884" t="str">
        <f>'Sch-5'!D21</f>
        <v/>
      </c>
      <c r="E21" s="884"/>
      <c r="F21" s="105"/>
    </row>
    <row r="22" spans="1:15" ht="30" customHeight="1">
      <c r="A22" s="104" t="s">
        <v>145</v>
      </c>
      <c r="B22" s="673" t="str">
        <f>'Sch-5'!B22</f>
        <v/>
      </c>
      <c r="C22" s="103" t="s">
        <v>146</v>
      </c>
      <c r="D22" s="884" t="str">
        <f>'Sch-5'!D22</f>
        <v/>
      </c>
      <c r="E22" s="88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zS/2cPP5ws139mxB2W7gqwM6iUuEgKwmjV/D4tPXHTffNmGlLK9fEHnwHw2CASBP2vBR+ydUBodseHVkOArOCw==" saltValue="UXNB7qw1H14277yTr+inIA==" spinCount="100000" sheet="1" formatColumns="0" formatRows="0" selectLockedCells="1"/>
  <dataConsolidate/>
  <customSheetViews>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topLeftCell="A13">
      <selection activeCell="G16" sqref="G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0"/>
  <headerFooter alignWithMargins="0">
    <oddFooter>&amp;R&amp;"Book Antiqua,Bold"&amp;10Schedule-5/ Page &amp;P of &amp;N</oddFooter>
  </headerFooter>
  <ignoredErrors>
    <ignoredError sqref="D15" evalError="1"/>
  </ignoredErrors>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3" zoomScaleNormal="100" zoomScaleSheetLayoutView="100" workbookViewId="0">
      <selection activeCell="D25" sqref="D2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5002002027/GIS-EXCLUDING/DOM/A04-CC CS-5   </v>
      </c>
      <c r="B1" s="114"/>
      <c r="C1" s="115"/>
      <c r="D1" s="116" t="s">
        <v>147</v>
      </c>
    </row>
    <row r="2" spans="1:6" ht="18" customHeight="1">
      <c r="A2" s="117"/>
      <c r="B2" s="118"/>
      <c r="C2" s="119"/>
      <c r="D2" s="119"/>
    </row>
    <row r="3" spans="1:6" ht="126.75" customHeight="1">
      <c r="A3" s="872" t="str">
        <f>Cover!$B$2</f>
        <v xml:space="preserve">GIS Substation Package SS02 for extension of 400/220kV Kurukshetra GIS Substation associated with Augmentation of transformation capacity at 400/220kV Kurukshetra S/S &amp; Patiala S/S
</v>
      </c>
      <c r="B3" s="872"/>
      <c r="C3" s="872"/>
      <c r="D3" s="872"/>
      <c r="E3" s="120"/>
      <c r="F3" s="120"/>
    </row>
    <row r="4" spans="1:6" ht="21.95" customHeight="1">
      <c r="A4" s="873" t="s">
        <v>148</v>
      </c>
      <c r="B4" s="873"/>
      <c r="C4" s="873"/>
      <c r="D4" s="873"/>
    </row>
    <row r="5" spans="1:6" ht="18" customHeight="1">
      <c r="A5" s="121"/>
    </row>
    <row r="6" spans="1:6" ht="18" customHeight="1">
      <c r="A6" s="833" t="s">
        <v>353</v>
      </c>
      <c r="B6" s="833"/>
      <c r="C6" s="4"/>
    </row>
    <row r="7" spans="1:6" ht="18" customHeight="1">
      <c r="A7" s="838">
        <f>'Sch-1'!A7</f>
        <v>0</v>
      </c>
      <c r="B7" s="838"/>
      <c r="C7" s="838"/>
      <c r="D7" s="94" t="s">
        <v>1</v>
      </c>
    </row>
    <row r="8" spans="1:6" ht="21.75" customHeight="1">
      <c r="A8" s="834" t="str">
        <f>"Bidder’s Name and Address  (" &amp; MID('Names of Bidder'!B9,9, 20) &amp; ") :"</f>
        <v>Bidder’s Name and Address  (Sole Bidder) :</v>
      </c>
      <c r="B8" s="834"/>
      <c r="C8" s="834"/>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7" t="str">
        <f>IF('Names of Bidder'!D10=0, "", 'Names of Bidder'!D10)</f>
        <v/>
      </c>
      <c r="C10" s="112"/>
      <c r="D10" s="95" t="str">
        <f>'Sch-1'!K10</f>
        <v>"Saudamini", Plot No.-2</v>
      </c>
    </row>
    <row r="11" spans="1:6" ht="18" customHeight="1">
      <c r="A11" s="409"/>
      <c r="B11" s="597" t="str">
        <f>IF('Names of Bidder'!D11=0, "", 'Names of Bidder'!D11)</f>
        <v/>
      </c>
      <c r="C11" s="112"/>
      <c r="D11" s="95" t="str">
        <f>'Sch-1'!K11</f>
        <v xml:space="preserve">Sector-29, </v>
      </c>
    </row>
    <row r="12" spans="1:6" ht="18" customHeight="1">
      <c r="A12" s="409"/>
      <c r="B12" s="597" t="str">
        <f>IF('Names of Bidder'!D12=0, "", 'Names of Bidder'!D12)</f>
        <v/>
      </c>
      <c r="C12" s="112"/>
      <c r="D12" s="95" t="str">
        <f>'Sch-1'!K12</f>
        <v>Gurgaon (Haryana) - 122001</v>
      </c>
    </row>
    <row r="13" spans="1:6" ht="18" customHeight="1" thickBot="1">
      <c r="A13" s="652"/>
      <c r="B13" s="652"/>
      <c r="C13" s="652"/>
      <c r="D13" s="123"/>
    </row>
    <row r="14" spans="1:6" ht="21.95" customHeight="1">
      <c r="A14" s="653" t="s">
        <v>130</v>
      </c>
      <c r="B14" s="898" t="s">
        <v>15</v>
      </c>
      <c r="C14" s="899"/>
      <c r="D14" s="654" t="s">
        <v>132</v>
      </c>
    </row>
    <row r="15" spans="1:6" ht="21.95" customHeight="1">
      <c r="A15" s="655" t="s">
        <v>135</v>
      </c>
      <c r="B15" s="895" t="s">
        <v>149</v>
      </c>
      <c r="C15" s="895"/>
      <c r="D15" s="656">
        <f>'Sch-1'!N68</f>
        <v>0</v>
      </c>
    </row>
    <row r="16" spans="1:6" ht="35.1" customHeight="1">
      <c r="A16" s="657"/>
      <c r="B16" s="896" t="s">
        <v>150</v>
      </c>
      <c r="C16" s="897"/>
      <c r="D16" s="658"/>
    </row>
    <row r="17" spans="1:6" ht="21.95" customHeight="1">
      <c r="A17" s="655" t="s">
        <v>137</v>
      </c>
      <c r="B17" s="895" t="s">
        <v>151</v>
      </c>
      <c r="C17" s="895"/>
      <c r="D17" s="656">
        <f>'Sch-2'!J68</f>
        <v>0</v>
      </c>
    </row>
    <row r="18" spans="1:6" ht="35.1" customHeight="1">
      <c r="A18" s="657"/>
      <c r="B18" s="896" t="s">
        <v>315</v>
      </c>
      <c r="C18" s="897"/>
      <c r="D18" s="658"/>
    </row>
    <row r="19" spans="1:6" ht="21.95" customHeight="1">
      <c r="A19" s="655" t="s">
        <v>139</v>
      </c>
      <c r="B19" s="895" t="s">
        <v>153</v>
      </c>
      <c r="C19" s="895"/>
      <c r="D19" s="656">
        <f>'Sch-3'!P87</f>
        <v>0</v>
      </c>
    </row>
    <row r="20" spans="1:6" ht="30" customHeight="1">
      <c r="A20" s="657"/>
      <c r="B20" s="896" t="s">
        <v>154</v>
      </c>
      <c r="C20" s="897"/>
      <c r="D20" s="658"/>
    </row>
    <row r="21" spans="1:6" ht="21.95" customHeight="1">
      <c r="A21" s="655" t="s">
        <v>140</v>
      </c>
      <c r="B21" s="895" t="s">
        <v>155</v>
      </c>
      <c r="C21" s="895"/>
      <c r="D21" s="659" t="s">
        <v>342</v>
      </c>
    </row>
    <row r="22" spans="1:6" ht="30" customHeight="1">
      <c r="A22" s="657"/>
      <c r="B22" s="896" t="s">
        <v>156</v>
      </c>
      <c r="C22" s="897"/>
      <c r="D22" s="658"/>
    </row>
    <row r="23" spans="1:6" ht="30" customHeight="1">
      <c r="A23" s="655">
        <v>5</v>
      </c>
      <c r="B23" s="895" t="s">
        <v>157</v>
      </c>
      <c r="C23" s="895"/>
      <c r="D23" s="656">
        <f>'Sch-5'!D19:E19</f>
        <v>0</v>
      </c>
    </row>
    <row r="24" spans="1:6" ht="23.25" customHeight="1">
      <c r="A24" s="657"/>
      <c r="B24" s="896" t="s">
        <v>158</v>
      </c>
      <c r="C24" s="897"/>
      <c r="D24" s="660"/>
    </row>
    <row r="25" spans="1:6" ht="21.95" customHeight="1">
      <c r="A25" s="655" t="s">
        <v>142</v>
      </c>
      <c r="B25" s="895" t="s">
        <v>159</v>
      </c>
      <c r="C25" s="895"/>
      <c r="D25" s="659" t="s">
        <v>342</v>
      </c>
    </row>
    <row r="26" spans="1:6" ht="35.1" customHeight="1">
      <c r="A26" s="657"/>
      <c r="B26" s="896" t="s">
        <v>160</v>
      </c>
      <c r="C26" s="897"/>
      <c r="D26" s="658"/>
    </row>
    <row r="27" spans="1:6" ht="18.75" customHeight="1">
      <c r="A27" s="891"/>
      <c r="B27" s="893" t="s">
        <v>350</v>
      </c>
      <c r="C27" s="893"/>
      <c r="D27" s="661"/>
    </row>
    <row r="28" spans="1:6" ht="18.75" customHeight="1" thickBot="1">
      <c r="A28" s="892"/>
      <c r="B28" s="894"/>
      <c r="C28" s="894"/>
      <c r="D28" s="662">
        <f>D15+D17+D19+D23</f>
        <v>0</v>
      </c>
    </row>
    <row r="29" spans="1:6" ht="18.75" customHeight="1">
      <c r="A29" s="132"/>
      <c r="B29" s="133"/>
      <c r="C29" s="133"/>
      <c r="D29" s="134"/>
    </row>
    <row r="30" spans="1:6" ht="27.95" customHeight="1">
      <c r="A30" s="132"/>
      <c r="B30" s="135"/>
      <c r="C30" s="135"/>
      <c r="D30" s="134"/>
    </row>
    <row r="31" spans="1:6" ht="27.95" customHeight="1">
      <c r="A31" s="136" t="s">
        <v>162</v>
      </c>
      <c r="B31" s="672" t="str">
        <f>'Sch-5 after discount'!B21</f>
        <v xml:space="preserve">  </v>
      </c>
      <c r="C31" s="135" t="s">
        <v>144</v>
      </c>
      <c r="D31" s="732" t="str">
        <f>'Sch-5 after discount'!D21</f>
        <v/>
      </c>
      <c r="F31" s="137"/>
    </row>
    <row r="32" spans="1:6" ht="27.95" customHeight="1">
      <c r="A32" s="136" t="s">
        <v>163</v>
      </c>
      <c r="B32" s="673" t="str">
        <f>'Sch-5 after discount'!B22</f>
        <v/>
      </c>
      <c r="C32" s="135" t="s">
        <v>146</v>
      </c>
      <c r="D32" s="732"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momrOSmXw8PT9M+Av21HBSz8M9Cx/MKuryQZvMXzWbYrxDTWObM2kt0nT7zSczX/VGV7we0fYEFGa5WcgW422w==" saltValue="HC3yQIldvNjvDRINKy98cQ==" spinCount="100000" sheet="1" formatColumns="0" formatRows="0" selectLockedCells="1"/>
  <customSheetViews>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topLeftCell="A3">
      <selection activeCell="D19" sqref="D1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5002002027/GIS-EXCLUDING/DOM/A04-CC CS-5   </v>
      </c>
      <c r="B1" s="114"/>
      <c r="C1" s="115"/>
      <c r="D1" s="116" t="s">
        <v>164</v>
      </c>
    </row>
    <row r="2" spans="1:6" ht="18" customHeight="1">
      <c r="A2" s="117"/>
      <c r="B2" s="118"/>
      <c r="C2" s="119"/>
      <c r="D2" s="119"/>
    </row>
    <row r="3" spans="1:6" ht="73.5" customHeight="1">
      <c r="A3" s="901" t="str">
        <f>Cover!$B$2</f>
        <v xml:space="preserve">GIS Substation Package SS02 for extension of 400/220kV Kurukshetra GIS Substation associated with Augmentation of transformation capacity at 400/220kV Kurukshetra S/S &amp; Patiala S/S
</v>
      </c>
      <c r="B3" s="901"/>
      <c r="C3" s="901"/>
      <c r="D3" s="901"/>
      <c r="E3" s="120"/>
      <c r="F3" s="120"/>
    </row>
    <row r="4" spans="1:6" ht="21.95" customHeight="1">
      <c r="A4" s="873" t="s">
        <v>148</v>
      </c>
      <c r="B4" s="873"/>
      <c r="C4" s="873"/>
      <c r="D4" s="873"/>
    </row>
    <row r="5" spans="1:6" ht="18" customHeight="1">
      <c r="A5" s="121"/>
    </row>
    <row r="6" spans="1:6" ht="18" customHeight="1">
      <c r="A6" s="25" t="e">
        <f>'Sch-1'!#REF!</f>
        <v>#REF!</v>
      </c>
      <c r="D6" s="94" t="s">
        <v>1</v>
      </c>
    </row>
    <row r="7" spans="1:6" ht="36" customHeight="1">
      <c r="A7" s="902" t="str">
        <f>'Sch-1'!A8</f>
        <v>Bidder’s Name and Address  (Sole Bidder) :</v>
      </c>
      <c r="B7" s="902"/>
      <c r="C7" s="902"/>
      <c r="D7" s="95" t="str">
        <f>'Sch-1'!K8</f>
        <v>Contract Services</v>
      </c>
    </row>
    <row r="8" spans="1:6" ht="18" customHeight="1">
      <c r="A8" s="29" t="s">
        <v>31</v>
      </c>
      <c r="B8" s="900" t="str">
        <f>IF('Sch-1'!C9=0, "", 'Sch-1'!C9)</f>
        <v/>
      </c>
      <c r="C8" s="900"/>
      <c r="D8" s="95" t="str">
        <f>'Sch-1'!K9</f>
        <v>Power Grid Corporation of India Ltd.,</v>
      </c>
    </row>
    <row r="9" spans="1:6" ht="18" customHeight="1">
      <c r="A9" s="29" t="s">
        <v>32</v>
      </c>
      <c r="B9" s="900" t="str">
        <f>IF('Sch-1'!C10=0, "", 'Sch-1'!C10)</f>
        <v/>
      </c>
      <c r="C9" s="900"/>
      <c r="D9" s="95" t="str">
        <f>'Sch-1'!K10</f>
        <v>"Saudamini", Plot No.-2</v>
      </c>
    </row>
    <row r="10" spans="1:6" ht="18" customHeight="1">
      <c r="A10" s="30"/>
      <c r="B10" s="900" t="str">
        <f>IF('Sch-1'!C11=0, "", 'Sch-1'!C11)</f>
        <v/>
      </c>
      <c r="C10" s="900"/>
      <c r="D10" s="95" t="str">
        <f>'Sch-1'!K11</f>
        <v xml:space="preserve">Sector-29, </v>
      </c>
    </row>
    <row r="11" spans="1:6" ht="18" customHeight="1">
      <c r="A11" s="30"/>
      <c r="B11" s="900" t="str">
        <f>IF('Sch-1'!C12=0, "", 'Sch-1'!C12)</f>
        <v/>
      </c>
      <c r="C11" s="900"/>
      <c r="D11" s="95" t="str">
        <f>'Sch-1'!K12</f>
        <v>Gurgaon (Haryana) - 122001</v>
      </c>
    </row>
    <row r="12" spans="1:6" ht="18" customHeight="1">
      <c r="A12" s="122"/>
      <c r="B12" s="122"/>
      <c r="C12" s="122"/>
      <c r="D12" s="123"/>
    </row>
    <row r="13" spans="1:6" ht="21.95" customHeight="1">
      <c r="A13" s="124" t="s">
        <v>130</v>
      </c>
      <c r="B13" s="905" t="s">
        <v>15</v>
      </c>
      <c r="C13" s="906"/>
      <c r="D13" s="125" t="s">
        <v>132</v>
      </c>
    </row>
    <row r="14" spans="1:6" ht="21.95" customHeight="1">
      <c r="A14" s="96" t="s">
        <v>135</v>
      </c>
      <c r="B14" s="895" t="s">
        <v>149</v>
      </c>
      <c r="C14" s="895"/>
      <c r="D14" s="126"/>
    </row>
    <row r="15" spans="1:6" ht="35.1" customHeight="1">
      <c r="A15" s="127"/>
      <c r="B15" s="896" t="s">
        <v>150</v>
      </c>
      <c r="C15" s="897"/>
      <c r="D15" s="128"/>
    </row>
    <row r="16" spans="1:6" ht="21.95" customHeight="1">
      <c r="A16" s="96" t="s">
        <v>137</v>
      </c>
      <c r="B16" s="895" t="s">
        <v>151</v>
      </c>
      <c r="C16" s="895"/>
      <c r="D16" s="126"/>
    </row>
    <row r="17" spans="1:6" ht="35.1" customHeight="1">
      <c r="A17" s="127"/>
      <c r="B17" s="896" t="s">
        <v>152</v>
      </c>
      <c r="C17" s="897"/>
      <c r="D17" s="128"/>
    </row>
    <row r="18" spans="1:6" ht="21.95" customHeight="1">
      <c r="A18" s="96" t="s">
        <v>139</v>
      </c>
      <c r="B18" s="895" t="s">
        <v>153</v>
      </c>
      <c r="C18" s="895"/>
      <c r="D18" s="126"/>
    </row>
    <row r="19" spans="1:6" ht="30" customHeight="1">
      <c r="A19" s="127"/>
      <c r="B19" s="896" t="s">
        <v>154</v>
      </c>
      <c r="C19" s="897"/>
      <c r="D19" s="128"/>
    </row>
    <row r="20" spans="1:6" ht="21.95" customHeight="1">
      <c r="A20" s="96" t="s">
        <v>140</v>
      </c>
      <c r="B20" s="895" t="s">
        <v>155</v>
      </c>
      <c r="C20" s="895"/>
      <c r="D20" s="129"/>
    </row>
    <row r="21" spans="1:6" ht="30" customHeight="1">
      <c r="A21" s="127"/>
      <c r="B21" s="896" t="s">
        <v>156</v>
      </c>
      <c r="C21" s="897"/>
      <c r="D21" s="128"/>
    </row>
    <row r="22" spans="1:6" ht="30" customHeight="1">
      <c r="A22" s="96">
        <v>5</v>
      </c>
      <c r="B22" s="895" t="s">
        <v>157</v>
      </c>
      <c r="C22" s="895"/>
      <c r="D22" s="126"/>
    </row>
    <row r="23" spans="1:6" ht="33" customHeight="1">
      <c r="A23" s="127"/>
      <c r="B23" s="896" t="s">
        <v>158</v>
      </c>
      <c r="C23" s="897"/>
      <c r="D23" s="143"/>
    </row>
    <row r="24" spans="1:6" ht="21.95" customHeight="1">
      <c r="A24" s="96" t="s">
        <v>142</v>
      </c>
      <c r="B24" s="895" t="s">
        <v>159</v>
      </c>
      <c r="C24" s="895"/>
      <c r="D24" s="129"/>
    </row>
    <row r="25" spans="1:6" ht="35.1" customHeight="1">
      <c r="A25" s="127"/>
      <c r="B25" s="896" t="s">
        <v>160</v>
      </c>
      <c r="C25" s="897"/>
      <c r="D25" s="128"/>
    </row>
    <row r="26" spans="1:6" ht="24" customHeight="1">
      <c r="A26" s="903"/>
      <c r="B26" s="904" t="s">
        <v>161</v>
      </c>
      <c r="C26" s="904"/>
      <c r="D26" s="130"/>
    </row>
    <row r="27" spans="1:6" ht="25.5" customHeight="1">
      <c r="A27" s="903"/>
      <c r="B27" s="904"/>
      <c r="C27" s="904"/>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6" zoomScaleNormal="100" zoomScaleSheetLayoutView="100" workbookViewId="0">
      <selection activeCell="I29" sqref="I29"/>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 xml:space="preserve">5002002027/GIS-EXCLUDING/DOM/A04-CC CS-5   </v>
      </c>
      <c r="B1" s="114"/>
      <c r="C1" s="115"/>
      <c r="D1" s="116" t="s">
        <v>547</v>
      </c>
    </row>
    <row r="2" spans="1:6" ht="18" customHeight="1">
      <c r="A2" s="117"/>
      <c r="B2" s="118"/>
      <c r="C2" s="119"/>
      <c r="D2" s="119"/>
    </row>
    <row r="3" spans="1:6" ht="132" customHeight="1">
      <c r="A3" s="872" t="str">
        <f>Cover!$B$2</f>
        <v xml:space="preserve">GIS Substation Package SS02 for extension of 400/220kV Kurukshetra GIS Substation associated with Augmentation of transformation capacity at 400/220kV Kurukshetra S/S &amp; Patiala S/S
</v>
      </c>
      <c r="B3" s="872"/>
      <c r="C3" s="872"/>
      <c r="D3" s="872"/>
      <c r="E3" s="120"/>
      <c r="F3" s="120"/>
    </row>
    <row r="4" spans="1:6" ht="21.95" customHeight="1">
      <c r="A4" s="873" t="s">
        <v>148</v>
      </c>
      <c r="B4" s="873"/>
      <c r="C4" s="873"/>
      <c r="D4" s="873"/>
    </row>
    <row r="5" spans="1:6" ht="18" customHeight="1">
      <c r="A5" s="121"/>
    </row>
    <row r="6" spans="1:6" ht="18" customHeight="1">
      <c r="A6" s="833" t="s">
        <v>353</v>
      </c>
      <c r="B6" s="833"/>
      <c r="C6" s="4"/>
    </row>
    <row r="7" spans="1:6" ht="18" customHeight="1">
      <c r="A7" s="838">
        <f>'Sch-1'!A7</f>
        <v>0</v>
      </c>
      <c r="B7" s="838"/>
      <c r="C7" s="838"/>
      <c r="D7" s="94" t="s">
        <v>1</v>
      </c>
    </row>
    <row r="8" spans="1:6" ht="22.5" customHeight="1">
      <c r="A8" s="834" t="str">
        <f>"Bidder’s Name and Address  (" &amp; MID('Names of Bidder'!B9,9, 20) &amp; ") :"</f>
        <v>Bidder’s Name and Address  (Sole Bidder) :</v>
      </c>
      <c r="B8" s="834"/>
      <c r="C8" s="834"/>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7" t="str">
        <f>IF('Names of Bidder'!D10=0, "", 'Names of Bidder'!D10)</f>
        <v/>
      </c>
      <c r="C10" s="112"/>
      <c r="D10" s="95" t="str">
        <f>'Sch-1'!K10</f>
        <v>"Saudamini", Plot No.-2</v>
      </c>
    </row>
    <row r="11" spans="1:6" ht="18" customHeight="1">
      <c r="A11" s="409"/>
      <c r="B11" s="597" t="str">
        <f>IF('Names of Bidder'!D11=0, "", 'Names of Bidder'!D11)</f>
        <v/>
      </c>
      <c r="C11" s="112"/>
      <c r="D11" s="95" t="str">
        <f>'Sch-1'!K11</f>
        <v xml:space="preserve">Sector-29, </v>
      </c>
    </row>
    <row r="12" spans="1:6" ht="18" customHeight="1">
      <c r="A12" s="409"/>
      <c r="B12" s="597" t="str">
        <f>IF('Names of Bidder'!D12=0, "", 'Names of Bidder'!D12)</f>
        <v/>
      </c>
      <c r="C12" s="112"/>
      <c r="D12" s="95" t="str">
        <f>'Sch-1'!K12</f>
        <v>Gurgaon (Haryana) - 122001</v>
      </c>
    </row>
    <row r="13" spans="1:6" ht="18" customHeight="1" thickBot="1">
      <c r="A13" s="652"/>
      <c r="B13" s="652"/>
      <c r="C13" s="652"/>
      <c r="D13" s="123"/>
    </row>
    <row r="14" spans="1:6" ht="21.95" customHeight="1">
      <c r="A14" s="653" t="s">
        <v>130</v>
      </c>
      <c r="B14" s="898" t="s">
        <v>15</v>
      </c>
      <c r="C14" s="899"/>
      <c r="D14" s="654" t="s">
        <v>132</v>
      </c>
      <c r="E14" s="625" t="s">
        <v>364</v>
      </c>
      <c r="F14" s="626" t="s">
        <v>363</v>
      </c>
    </row>
    <row r="15" spans="1:6" ht="21.95" customHeight="1">
      <c r="A15" s="655" t="s">
        <v>135</v>
      </c>
      <c r="B15" s="895" t="s">
        <v>149</v>
      </c>
      <c r="C15" s="895"/>
      <c r="D15" s="656">
        <f>E15*F15</f>
        <v>0</v>
      </c>
      <c r="E15" s="627">
        <f>'Sch-6'!D15</f>
        <v>0</v>
      </c>
      <c r="F15" s="649">
        <f>IF(Discount!H36&lt;0,0,Discount!H36)</f>
        <v>0</v>
      </c>
    </row>
    <row r="16" spans="1:6" ht="35.1" customHeight="1">
      <c r="A16" s="657"/>
      <c r="B16" s="896" t="s">
        <v>150</v>
      </c>
      <c r="C16" s="897"/>
      <c r="D16" s="658"/>
      <c r="E16" s="629"/>
      <c r="F16" s="649"/>
    </row>
    <row r="17" spans="1:6" ht="21.95" customHeight="1">
      <c r="A17" s="655" t="s">
        <v>137</v>
      </c>
      <c r="B17" s="895" t="s">
        <v>151</v>
      </c>
      <c r="C17" s="895"/>
      <c r="D17" s="656">
        <f>E17*F17</f>
        <v>0</v>
      </c>
      <c r="E17" s="627">
        <f>'Sch-6'!D17</f>
        <v>0</v>
      </c>
      <c r="F17" s="649">
        <f>IF(Discount!I36&lt;0,0,Discount!I36)</f>
        <v>0</v>
      </c>
    </row>
    <row r="18" spans="1:6" ht="35.1" customHeight="1">
      <c r="A18" s="657"/>
      <c r="B18" s="896" t="s">
        <v>315</v>
      </c>
      <c r="C18" s="897"/>
      <c r="D18" s="658"/>
      <c r="E18" s="629"/>
      <c r="F18" s="649"/>
    </row>
    <row r="19" spans="1:6" ht="21.95" customHeight="1">
      <c r="A19" s="655" t="s">
        <v>139</v>
      </c>
      <c r="B19" s="895" t="s">
        <v>153</v>
      </c>
      <c r="C19" s="895"/>
      <c r="D19" s="656">
        <f>E19*F19</f>
        <v>0</v>
      </c>
      <c r="E19" s="627">
        <f>'Sch-6'!D19</f>
        <v>0</v>
      </c>
      <c r="F19" s="649">
        <f>IF(Discount!J36&lt;0,0,Discount!J36)</f>
        <v>0</v>
      </c>
    </row>
    <row r="20" spans="1:6" ht="30" customHeight="1">
      <c r="A20" s="657"/>
      <c r="B20" s="896" t="s">
        <v>154</v>
      </c>
      <c r="C20" s="897"/>
      <c r="D20" s="658"/>
      <c r="E20" s="629"/>
      <c r="F20" s="628"/>
    </row>
    <row r="21" spans="1:6" ht="21.95" customHeight="1">
      <c r="A21" s="655" t="s">
        <v>140</v>
      </c>
      <c r="B21" s="895" t="s">
        <v>155</v>
      </c>
      <c r="C21" s="895"/>
      <c r="D21" s="659" t="s">
        <v>342</v>
      </c>
      <c r="E21" s="629"/>
      <c r="F21" s="628"/>
    </row>
    <row r="22" spans="1:6" ht="30" customHeight="1">
      <c r="A22" s="657"/>
      <c r="B22" s="896" t="s">
        <v>156</v>
      </c>
      <c r="C22" s="897"/>
      <c r="D22" s="658"/>
      <c r="E22" s="629"/>
      <c r="F22" s="628"/>
    </row>
    <row r="23" spans="1:6" ht="30" customHeight="1">
      <c r="A23" s="655">
        <v>5</v>
      </c>
      <c r="B23" s="895" t="s">
        <v>157</v>
      </c>
      <c r="C23" s="895"/>
      <c r="D23" s="656">
        <f>IF('Sch-5 after discount'!D19&lt;0,0,'Sch-5 after discount'!D19)</f>
        <v>0</v>
      </c>
      <c r="E23" s="629"/>
      <c r="F23" s="628"/>
    </row>
    <row r="24" spans="1:6" ht="25.5" customHeight="1">
      <c r="A24" s="657"/>
      <c r="B24" s="896" t="s">
        <v>158</v>
      </c>
      <c r="C24" s="897"/>
      <c r="D24" s="660"/>
      <c r="E24" s="629"/>
      <c r="F24" s="628"/>
    </row>
    <row r="25" spans="1:6" ht="21.95" customHeight="1">
      <c r="A25" s="655" t="s">
        <v>142</v>
      </c>
      <c r="B25" s="895" t="s">
        <v>159</v>
      </c>
      <c r="C25" s="895"/>
      <c r="D25" s="659" t="s">
        <v>342</v>
      </c>
      <c r="E25" s="629"/>
      <c r="F25" s="628"/>
    </row>
    <row r="26" spans="1:6" ht="35.1" customHeight="1">
      <c r="A26" s="657"/>
      <c r="B26" s="896" t="s">
        <v>160</v>
      </c>
      <c r="C26" s="897"/>
      <c r="D26" s="658"/>
      <c r="E26" s="629"/>
      <c r="F26" s="628"/>
    </row>
    <row r="27" spans="1:6" ht="18.75" customHeight="1">
      <c r="A27" s="891"/>
      <c r="B27" s="893" t="s">
        <v>350</v>
      </c>
      <c r="C27" s="893"/>
      <c r="D27" s="663"/>
      <c r="E27" s="629"/>
      <c r="F27" s="628"/>
    </row>
    <row r="28" spans="1:6" ht="18.75" customHeight="1" thickBot="1">
      <c r="A28" s="892"/>
      <c r="B28" s="894"/>
      <c r="C28" s="894"/>
      <c r="D28" s="662">
        <f>SUM(D15:D26)</f>
        <v>0</v>
      </c>
      <c r="E28" s="630"/>
      <c r="F28" s="631"/>
    </row>
    <row r="29" spans="1:6" ht="18.75" customHeight="1">
      <c r="A29" s="132"/>
      <c r="B29" s="133"/>
      <c r="C29" s="133"/>
      <c r="D29" s="134"/>
    </row>
    <row r="30" spans="1:6" ht="27.95" customHeight="1">
      <c r="A30" s="132"/>
      <c r="B30" s="135"/>
      <c r="C30" s="135"/>
      <c r="D30" s="134"/>
    </row>
    <row r="31" spans="1:6" ht="27.95" customHeight="1">
      <c r="A31" s="136" t="s">
        <v>162</v>
      </c>
      <c r="B31" s="672" t="str">
        <f>'Sch-6'!B31</f>
        <v xml:space="preserve">  </v>
      </c>
      <c r="C31" s="135" t="s">
        <v>144</v>
      </c>
      <c r="D31" s="733" t="str">
        <f>'Sch-6'!D31</f>
        <v/>
      </c>
      <c r="F31" s="137"/>
    </row>
    <row r="32" spans="1:6" ht="27.95" customHeight="1">
      <c r="A32" s="136" t="s">
        <v>163</v>
      </c>
      <c r="B32" s="673" t="str">
        <f>'Sch-6'!B32</f>
        <v/>
      </c>
      <c r="C32" s="135" t="s">
        <v>146</v>
      </c>
      <c r="D32" s="733"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kuUw+iCfqKMF/+/+82SkPViKo/ZWi1rMQns2QumsK+/Ni4gkx8QTjMGJ5tPF17/xm9VYN6o6MBOuZOAjLS3Dw==" saltValue="kpMR2lyjZBUqQOs+3YDO4w==" spinCount="100000" sheet="1" formatColumns="0" formatRows="0" selectLockedCells="1"/>
  <customSheetViews>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0" zoomScaleNormal="100" zoomScaleSheetLayoutView="100" workbookViewId="0">
      <selection activeCell="A16" sqref="A16"/>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 xml:space="preserve">5002002027/GIS-EXCLUDING/DOM/A04-CC CS-5   </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101.25" customHeight="1">
      <c r="A3" s="907" t="str">
        <f>Cover!$B$2</f>
        <v xml:space="preserve">GIS Substation Package SS02 for extension of 400/220kV Kurukshetra GIS Substation associated with Augmentation of transformation capacity at 400/220kV Kurukshetra S/S &amp; Patiala S/S
</v>
      </c>
      <c r="B3" s="907"/>
      <c r="C3" s="907"/>
      <c r="D3" s="907"/>
      <c r="E3" s="907"/>
      <c r="F3" s="907"/>
      <c r="G3" s="907"/>
      <c r="H3" s="907"/>
      <c r="I3" s="907"/>
      <c r="J3" s="907"/>
      <c r="K3" s="907"/>
      <c r="L3" s="907"/>
      <c r="M3" s="907"/>
      <c r="AA3" s="304" t="s">
        <v>18</v>
      </c>
      <c r="AC3" s="304">
        <f>IF(ISERROR(#REF!/('[6]Sch-6'!D14+'[6]Sch-6'!D16+'[6]Sch-6'!D18)),0,#REF!/( '[6]Sch-6'!D14+'[6]Sch-6'!D16+'[6]Sch-6'!D18))</f>
        <v>0</v>
      </c>
    </row>
    <row r="4" spans="1:100" s="304" customFormat="1" ht="21.95" customHeight="1">
      <c r="A4" s="908" t="s">
        <v>19</v>
      </c>
      <c r="B4" s="908"/>
      <c r="C4" s="908"/>
      <c r="D4" s="908"/>
      <c r="E4" s="908"/>
      <c r="F4" s="908"/>
      <c r="G4" s="908"/>
      <c r="H4" s="908"/>
      <c r="I4" s="908"/>
      <c r="J4" s="908"/>
      <c r="K4" s="908"/>
      <c r="L4" s="908"/>
      <c r="M4" s="908"/>
      <c r="AA4" s="304" t="s">
        <v>20</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600"/>
      <c r="B6" s="833" t="s">
        <v>353</v>
      </c>
      <c r="C6" s="833"/>
      <c r="D6" s="4"/>
      <c r="E6" s="466"/>
      <c r="F6" s="466"/>
      <c r="G6" s="466"/>
      <c r="H6" s="466"/>
      <c r="I6" s="397"/>
      <c r="K6" s="308"/>
      <c r="L6" s="307"/>
      <c r="M6" s="466"/>
    </row>
    <row r="7" spans="1:100" s="304" customFormat="1" ht="27.95" customHeight="1">
      <c r="A7" s="596"/>
      <c r="B7" s="838">
        <f>'Sch-1'!A7</f>
        <v>0</v>
      </c>
      <c r="C7" s="838"/>
      <c r="D7" s="838"/>
      <c r="E7" s="838"/>
      <c r="F7" s="838"/>
      <c r="G7" s="838"/>
      <c r="H7" s="838"/>
      <c r="I7" s="397"/>
      <c r="K7" s="308"/>
      <c r="L7" s="307"/>
      <c r="M7" s="466"/>
    </row>
    <row r="8" spans="1:100" s="524" customFormat="1" ht="16.5" customHeight="1">
      <c r="A8" s="599"/>
      <c r="B8" s="834" t="str">
        <f>'Sch-1'!A8</f>
        <v>Bidder’s Name and Address  (Sole Bidder) :</v>
      </c>
      <c r="C8" s="834"/>
      <c r="D8" s="834"/>
      <c r="E8" s="834"/>
      <c r="F8" s="834"/>
      <c r="G8" s="834"/>
      <c r="H8" s="834"/>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4" customFormat="1">
      <c r="A9" s="462"/>
      <c r="B9" s="462" t="s">
        <v>12</v>
      </c>
      <c r="C9" s="837" t="str">
        <f>'Sch-1'!C9</f>
        <v/>
      </c>
      <c r="D9" s="837"/>
      <c r="E9" s="837"/>
      <c r="F9" s="837"/>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4" customFormat="1">
      <c r="A10" s="462"/>
      <c r="B10" s="462" t="s">
        <v>11</v>
      </c>
      <c r="C10" s="836" t="str">
        <f>'Sch-1'!C10</f>
        <v/>
      </c>
      <c r="D10" s="836"/>
      <c r="E10" s="836"/>
      <c r="F10" s="836"/>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4" customFormat="1">
      <c r="A11" s="409"/>
      <c r="B11" s="409"/>
      <c r="C11" s="836" t="str">
        <f>'Sch-1'!C11</f>
        <v/>
      </c>
      <c r="D11" s="836"/>
      <c r="E11" s="836"/>
      <c r="F11" s="836"/>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4" customFormat="1">
      <c r="A12" s="409"/>
      <c r="B12" s="409"/>
      <c r="C12" s="836" t="str">
        <f>'Sch-1'!C12</f>
        <v/>
      </c>
      <c r="D12" s="836"/>
      <c r="E12" s="836"/>
      <c r="F12" s="836"/>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14" t="s">
        <v>33</v>
      </c>
      <c r="B14" s="914"/>
      <c r="C14" s="914"/>
      <c r="D14" s="914"/>
      <c r="E14" s="914"/>
      <c r="F14" s="914"/>
      <c r="G14" s="914"/>
      <c r="H14" s="914"/>
      <c r="I14" s="914"/>
      <c r="J14" s="914"/>
      <c r="K14" s="914"/>
      <c r="L14" s="914"/>
      <c r="M14" s="914"/>
    </row>
    <row r="15" spans="1:100" s="304" customFormat="1" ht="115.5" customHeight="1">
      <c r="A15" s="521" t="s">
        <v>34</v>
      </c>
      <c r="B15" s="391" t="s">
        <v>267</v>
      </c>
      <c r="C15" s="391" t="s">
        <v>268</v>
      </c>
      <c r="D15" s="521" t="s">
        <v>40</v>
      </c>
      <c r="E15" s="525" t="s">
        <v>332</v>
      </c>
      <c r="F15" s="526" t="s">
        <v>333</v>
      </c>
      <c r="G15" s="526" t="s">
        <v>313</v>
      </c>
      <c r="H15" s="526" t="s">
        <v>321</v>
      </c>
      <c r="I15" s="522" t="s">
        <v>35</v>
      </c>
      <c r="J15" s="522" t="s">
        <v>9</v>
      </c>
      <c r="K15" s="522" t="s">
        <v>16</v>
      </c>
      <c r="L15" s="522" t="s">
        <v>36</v>
      </c>
      <c r="M15" s="523" t="s">
        <v>37</v>
      </c>
      <c r="AB15" s="304" t="s">
        <v>38</v>
      </c>
      <c r="AD15" s="304" t="s">
        <v>22</v>
      </c>
      <c r="AE15" s="304" t="s">
        <v>39</v>
      </c>
    </row>
    <row r="16" spans="1:100">
      <c r="A16" s="528"/>
      <c r="B16" s="528"/>
      <c r="C16" s="528"/>
      <c r="D16" s="528"/>
      <c r="E16" s="528"/>
      <c r="F16" s="528"/>
      <c r="G16" s="528"/>
      <c r="H16" s="528"/>
      <c r="I16" s="529"/>
      <c r="J16" s="530"/>
      <c r="K16" s="530"/>
      <c r="L16" s="530"/>
      <c r="M16" s="530"/>
    </row>
    <row r="17" spans="1:100" s="417" customFormat="1" ht="23.25" customHeight="1">
      <c r="A17" s="468"/>
      <c r="B17" s="468"/>
      <c r="C17" s="468"/>
      <c r="D17" s="468"/>
      <c r="F17" s="468"/>
      <c r="G17" s="531" t="s">
        <v>341</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15"/>
      <c r="B18" s="915"/>
      <c r="C18" s="915"/>
      <c r="D18" s="915"/>
      <c r="E18" s="915"/>
      <c r="F18" s="915"/>
      <c r="G18" s="915"/>
      <c r="H18" s="915"/>
      <c r="I18" s="915"/>
      <c r="J18" s="532"/>
      <c r="K18" s="532"/>
      <c r="L18" s="532"/>
      <c r="M18" s="532"/>
    </row>
    <row r="19" spans="1:100" ht="26.25" customHeight="1">
      <c r="B19" s="373"/>
      <c r="C19" s="374"/>
      <c r="D19" s="374"/>
      <c r="E19" s="374"/>
      <c r="F19" s="374"/>
      <c r="G19" s="374"/>
      <c r="H19" s="374"/>
      <c r="I19" s="374"/>
      <c r="J19" s="374"/>
      <c r="K19" s="374"/>
      <c r="L19" s="375"/>
      <c r="M19" s="527"/>
    </row>
    <row r="20" spans="1:100">
      <c r="B20" s="374"/>
      <c r="C20" s="374"/>
      <c r="D20" s="374"/>
      <c r="E20" s="374"/>
      <c r="F20" s="374"/>
      <c r="G20" s="374"/>
      <c r="H20" s="374"/>
      <c r="I20" s="374"/>
      <c r="J20" s="374"/>
      <c r="K20" s="374"/>
      <c r="L20" s="376"/>
      <c r="M20" s="527"/>
    </row>
    <row r="21" spans="1:100" s="478" customFormat="1">
      <c r="B21" s="478" t="s">
        <v>318</v>
      </c>
      <c r="C21" s="916" t="str">
        <f>'Sch-6 (After Discount)'!B31</f>
        <v xml:space="preserve">  </v>
      </c>
      <c r="D21" s="911"/>
      <c r="H21" s="912" t="s">
        <v>320</v>
      </c>
      <c r="I21" s="912"/>
      <c r="J21" s="909" t="str">
        <f>'Sch-6 (After Discount)'!D31</f>
        <v/>
      </c>
      <c r="K21" s="909"/>
      <c r="L21" s="909"/>
      <c r="M21" s="909"/>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8" customFormat="1" ht="16.5" customHeight="1">
      <c r="B22" s="478" t="s">
        <v>319</v>
      </c>
      <c r="C22" s="910" t="str">
        <f>'Sch-6'!B32</f>
        <v/>
      </c>
      <c r="D22" s="911"/>
      <c r="H22" s="912" t="s">
        <v>125</v>
      </c>
      <c r="I22" s="912"/>
      <c r="J22" s="909" t="str">
        <f>'Sch-6 (After Discount)'!D32</f>
        <v/>
      </c>
      <c r="K22" s="909"/>
      <c r="L22" s="909"/>
      <c r="M22" s="909"/>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17"/>
      <c r="C23" s="917"/>
      <c r="D23" s="917"/>
      <c r="E23" s="917"/>
      <c r="F23" s="917"/>
      <c r="G23" s="917"/>
      <c r="H23" s="917"/>
      <c r="I23" s="917"/>
      <c r="J23" s="917"/>
      <c r="K23" s="917"/>
      <c r="L23" s="917"/>
      <c r="M23" s="527"/>
    </row>
    <row r="24" spans="1:100">
      <c r="B24" s="377"/>
      <c r="C24" s="377"/>
      <c r="D24" s="918"/>
      <c r="E24" s="918"/>
      <c r="F24" s="918"/>
      <c r="G24" s="918"/>
      <c r="H24" s="918"/>
      <c r="I24" s="918"/>
      <c r="J24" s="918"/>
      <c r="K24" s="918"/>
      <c r="L24" s="918"/>
      <c r="M24" s="527"/>
    </row>
    <row r="25" spans="1:100">
      <c r="B25" s="378"/>
      <c r="C25" s="379"/>
      <c r="D25" s="918"/>
      <c r="E25" s="918"/>
      <c r="F25" s="918"/>
      <c r="G25" s="918"/>
      <c r="H25" s="918"/>
      <c r="I25" s="918"/>
      <c r="J25" s="918"/>
      <c r="K25" s="918"/>
      <c r="L25" s="918"/>
      <c r="M25" s="527"/>
    </row>
    <row r="26" spans="1:100">
      <c r="B26" s="378"/>
      <c r="C26" s="380"/>
      <c r="D26" s="918"/>
      <c r="E26" s="918"/>
      <c r="F26" s="918"/>
      <c r="G26" s="918"/>
      <c r="H26" s="918"/>
      <c r="I26" s="918"/>
      <c r="J26" s="918"/>
      <c r="K26" s="918"/>
      <c r="L26" s="918"/>
      <c r="M26" s="527"/>
    </row>
    <row r="27" spans="1:100">
      <c r="B27" s="23"/>
      <c r="C27" s="22"/>
      <c r="D27" s="918"/>
      <c r="E27" s="918"/>
      <c r="F27" s="918"/>
      <c r="G27" s="918"/>
      <c r="H27" s="918"/>
      <c r="I27" s="918"/>
      <c r="J27" s="918"/>
      <c r="K27" s="918"/>
      <c r="L27" s="918"/>
      <c r="M27" s="527"/>
    </row>
    <row r="28" spans="1:100">
      <c r="B28" s="23"/>
      <c r="C28" s="22"/>
      <c r="D28" s="381"/>
      <c r="E28" s="381"/>
      <c r="F28" s="381"/>
      <c r="G28" s="381"/>
      <c r="H28" s="381"/>
      <c r="I28" s="381"/>
      <c r="J28" s="381"/>
      <c r="K28" s="381"/>
      <c r="L28" s="381"/>
      <c r="M28" s="527"/>
    </row>
    <row r="29" spans="1:100">
      <c r="B29" s="382"/>
      <c r="C29" s="919"/>
      <c r="D29" s="919"/>
      <c r="E29" s="919"/>
      <c r="F29" s="919"/>
      <c r="G29" s="919"/>
      <c r="H29" s="919"/>
      <c r="I29" s="919"/>
      <c r="J29" s="919"/>
      <c r="K29" s="919"/>
      <c r="L29" s="383"/>
      <c r="M29" s="527"/>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 xml:space="preserve">5002002027/GIS-EXCLUDING/DOM/A04-CC CS-5   </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20" t="str">
        <f>A3</f>
        <v xml:space="preserve">GIS Substation Package SS02 for extension of 400/220kV Kurukshetra GIS Substation associated with Augmentation of transformation capacity at 400/220kV Kurukshetra S/S &amp; Patiala S/S
</v>
      </c>
      <c r="B64" s="920"/>
      <c r="C64" s="920"/>
      <c r="D64" s="920"/>
      <c r="E64" s="920"/>
      <c r="F64" s="920"/>
      <c r="G64" s="920"/>
      <c r="H64" s="920"/>
      <c r="I64" s="920">
        <f>I3</f>
        <v>0</v>
      </c>
      <c r="J64" s="920">
        <f>J3</f>
        <v>0</v>
      </c>
      <c r="K64" s="920"/>
      <c r="L64" s="920"/>
      <c r="M64" s="920"/>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13" t="str">
        <f>A4</f>
        <v>(SCHEDULE OF RATES AND PRICES )</v>
      </c>
      <c r="B65" s="913"/>
      <c r="C65" s="913"/>
      <c r="D65" s="913"/>
      <c r="E65" s="913"/>
      <c r="F65" s="913"/>
      <c r="G65" s="913"/>
      <c r="H65" s="913"/>
      <c r="I65" s="913">
        <f>I4</f>
        <v>0</v>
      </c>
      <c r="J65" s="913">
        <f>J4</f>
        <v>0</v>
      </c>
      <c r="K65" s="913"/>
      <c r="L65" s="913"/>
      <c r="M65" s="913"/>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22" t="e">
        <f>#REF!</f>
        <v>#REF!</v>
      </c>
      <c r="B68" s="922"/>
      <c r="C68" s="922"/>
      <c r="D68" s="922"/>
      <c r="E68" s="922"/>
      <c r="F68" s="922"/>
      <c r="G68" s="922"/>
      <c r="H68" s="922"/>
      <c r="I68" s="922" t="e">
        <f>#REF!</f>
        <v>#REF!</v>
      </c>
      <c r="J68" s="922"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21" t="e">
        <f>#REF!</f>
        <v>#REF!</v>
      </c>
      <c r="J69" s="921"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21" t="e">
        <f>#REF!</f>
        <v>#REF!</v>
      </c>
      <c r="J70" s="921"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21" t="e">
        <f>#REF!</f>
        <v>#REF!</v>
      </c>
      <c r="J71" s="921"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21">
        <f>C5</f>
        <v>0</v>
      </c>
      <c r="J72" s="921">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24" t="e">
        <f>#REF!</f>
        <v>#REF!</v>
      </c>
      <c r="K74" s="924"/>
      <c r="L74" s="924"/>
      <c r="M74" s="92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25" t="e">
        <f>#REF!</f>
        <v>#REF!</v>
      </c>
      <c r="K75" s="925"/>
      <c r="L75" s="925"/>
      <c r="M75" s="925"/>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25"/>
      <c r="K76" s="925"/>
      <c r="L76" s="925"/>
      <c r="M76" s="925"/>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23" t="e">
        <f>#REF!</f>
        <v>#REF!</v>
      </c>
      <c r="K77" s="923"/>
      <c r="L77" s="923"/>
      <c r="M77" s="923"/>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23" t="e">
        <f>#REF!</f>
        <v>#REF!</v>
      </c>
      <c r="K78" s="923"/>
      <c r="L78" s="923"/>
      <c r="M78" s="923"/>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23" t="e">
        <f>#REF!</f>
        <v>#REF!</v>
      </c>
      <c r="K79" s="923"/>
      <c r="L79" s="923"/>
      <c r="M79" s="923"/>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23"/>
      <c r="K80" s="923"/>
      <c r="L80" s="923"/>
      <c r="M80" s="923"/>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23"/>
      <c r="K81" s="923"/>
      <c r="L81" s="923"/>
      <c r="M81" s="923"/>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23"/>
      <c r="K82" s="923"/>
      <c r="L82" s="923"/>
      <c r="M82" s="923"/>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23" t="e">
        <f>#REF!</f>
        <v>#REF!</v>
      </c>
      <c r="K83" s="923"/>
      <c r="L83" s="923"/>
      <c r="M83" s="923"/>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23" t="e">
        <f>#REF!</f>
        <v>#REF!</v>
      </c>
      <c r="K84" s="923"/>
      <c r="L84" s="923"/>
      <c r="M84" s="923"/>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23" t="e">
        <f>#REF!</f>
        <v>#REF!</v>
      </c>
      <c r="K85" s="923"/>
      <c r="L85" s="923"/>
      <c r="M85" s="923"/>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23" t="e">
        <f>#REF!</f>
        <v>#REF!</v>
      </c>
      <c r="K86" s="923"/>
      <c r="L86" s="923"/>
      <c r="M86" s="923"/>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23" t="e">
        <f>#REF!</f>
        <v>#REF!</v>
      </c>
      <c r="K87" s="923"/>
      <c r="L87" s="923"/>
      <c r="M87" s="923"/>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23"/>
      <c r="K88" s="923"/>
      <c r="L88" s="923"/>
      <c r="M88" s="923"/>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23" t="e">
        <f>#REF!</f>
        <v>#REF!</v>
      </c>
      <c r="K89" s="923"/>
      <c r="L89" s="923"/>
      <c r="M89" s="923"/>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23" t="e">
        <f>#REF!</f>
        <v>#REF!</v>
      </c>
      <c r="K90" s="923"/>
      <c r="L90" s="923"/>
      <c r="M90" s="923"/>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23" t="e">
        <f>#REF!</f>
        <v>#REF!</v>
      </c>
      <c r="K91" s="923"/>
      <c r="L91" s="923"/>
      <c r="M91" s="923"/>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23" t="e">
        <f>#REF!</f>
        <v>#REF!</v>
      </c>
      <c r="K92" s="923"/>
      <c r="L92" s="923"/>
      <c r="M92" s="923"/>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23" t="e">
        <f>#REF!</f>
        <v>#REF!</v>
      </c>
      <c r="K93" s="923"/>
      <c r="L93" s="923"/>
      <c r="M93" s="923"/>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23"/>
      <c r="K94" s="923"/>
      <c r="L94" s="923"/>
      <c r="M94" s="923"/>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23" t="e">
        <f>#REF!</f>
        <v>#REF!</v>
      </c>
      <c r="K95" s="923"/>
      <c r="L95" s="923"/>
      <c r="M95" s="923"/>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23" t="e">
        <f>#REF!</f>
        <v>#REF!</v>
      </c>
      <c r="K96" s="923"/>
      <c r="L96" s="923"/>
      <c r="M96" s="923"/>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23" t="e">
        <f>#REF!</f>
        <v>#REF!</v>
      </c>
      <c r="K97" s="923"/>
      <c r="L97" s="923"/>
      <c r="M97" s="923"/>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23" t="e">
        <f>#REF!</f>
        <v>#REF!</v>
      </c>
      <c r="K98" s="923"/>
      <c r="L98" s="923"/>
      <c r="M98" s="923"/>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23"/>
      <c r="K99" s="923"/>
      <c r="L99" s="923"/>
      <c r="M99" s="923"/>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23" t="e">
        <f>#REF!</f>
        <v>#REF!</v>
      </c>
      <c r="K100" s="923"/>
      <c r="L100" s="923"/>
      <c r="M100" s="923"/>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23" t="e">
        <f>#REF!</f>
        <v>#REF!</v>
      </c>
      <c r="K101" s="923"/>
      <c r="L101" s="923"/>
      <c r="M101" s="923"/>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23" t="e">
        <f>#REF!</f>
        <v>#REF!</v>
      </c>
      <c r="K102" s="923"/>
      <c r="L102" s="923"/>
      <c r="M102" s="923"/>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23" t="e">
        <f>#REF!</f>
        <v>#REF!</v>
      </c>
      <c r="K103" s="923"/>
      <c r="L103" s="923"/>
      <c r="M103" s="923"/>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23"/>
      <c r="K104" s="923"/>
      <c r="L104" s="923"/>
      <c r="M104" s="923"/>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23" t="e">
        <f>#REF!</f>
        <v>#REF!</v>
      </c>
      <c r="K105" s="923"/>
      <c r="L105" s="923"/>
      <c r="M105" s="923"/>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23" t="e">
        <f>#REF!</f>
        <v>#REF!</v>
      </c>
      <c r="K106" s="923"/>
      <c r="L106" s="923"/>
      <c r="M106" s="923"/>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23" t="e">
        <f>#REF!</f>
        <v>#REF!</v>
      </c>
      <c r="K107" s="923"/>
      <c r="L107" s="923"/>
      <c r="M107" s="923"/>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23" t="e">
        <f>#REF!</f>
        <v>#REF!</v>
      </c>
      <c r="K108" s="923"/>
      <c r="L108" s="923"/>
      <c r="M108" s="923"/>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23" t="e">
        <f>#REF!</f>
        <v>#REF!</v>
      </c>
      <c r="K109" s="923"/>
      <c r="L109" s="923"/>
      <c r="M109" s="923"/>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23" t="e">
        <f>#REF!</f>
        <v>#REF!</v>
      </c>
      <c r="K110" s="923"/>
      <c r="L110" s="923"/>
      <c r="M110" s="923"/>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23"/>
      <c r="K111" s="923"/>
      <c r="L111" s="923"/>
      <c r="M111" s="923"/>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23"/>
      <c r="K112" s="923"/>
      <c r="L112" s="923"/>
      <c r="M112" s="923"/>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23"/>
      <c r="K113" s="923"/>
      <c r="L113" s="923"/>
      <c r="M113" s="923"/>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23" t="e">
        <f>#REF!</f>
        <v>#REF!</v>
      </c>
      <c r="K114" s="923"/>
      <c r="L114" s="923"/>
      <c r="M114" s="923"/>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23" t="e">
        <f>#REF!</f>
        <v>#REF!</v>
      </c>
      <c r="K115" s="923"/>
      <c r="L115" s="923"/>
      <c r="M115" s="923"/>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23" t="e">
        <f>#REF!</f>
        <v>#REF!</v>
      </c>
      <c r="K116" s="923"/>
      <c r="L116" s="923"/>
      <c r="M116" s="923"/>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23" t="e">
        <f>#REF!</f>
        <v>#REF!</v>
      </c>
      <c r="K117" s="923"/>
      <c r="L117" s="923"/>
      <c r="M117" s="923"/>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23" t="e">
        <f>#REF!</f>
        <v>#REF!</v>
      </c>
      <c r="K118" s="923"/>
      <c r="L118" s="923"/>
      <c r="M118" s="923"/>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23"/>
      <c r="K119" s="923"/>
      <c r="L119" s="923"/>
      <c r="M119" s="923"/>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23"/>
      <c r="K120" s="923"/>
      <c r="L120" s="923"/>
      <c r="M120" s="923"/>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23" t="e">
        <f>#REF!</f>
        <v>#REF!</v>
      </c>
      <c r="K121" s="923"/>
      <c r="L121" s="923"/>
      <c r="M121" s="923"/>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23" t="e">
        <f>#REF!</f>
        <v>#REF!</v>
      </c>
      <c r="K122" s="923"/>
      <c r="L122" s="923"/>
      <c r="M122" s="923"/>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23" t="e">
        <f>#REF!</f>
        <v>#REF!</v>
      </c>
      <c r="K123" s="923"/>
      <c r="L123" s="923"/>
      <c r="M123" s="923"/>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23" t="e">
        <f>#REF!</f>
        <v>#REF!</v>
      </c>
      <c r="K124" s="923"/>
      <c r="L124" s="923"/>
      <c r="M124" s="923"/>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23" t="e">
        <f>#REF!</f>
        <v>#REF!</v>
      </c>
      <c r="K125" s="923"/>
      <c r="L125" s="923"/>
      <c r="M125" s="923"/>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23" t="e">
        <f>#REF!</f>
        <v>#REF!</v>
      </c>
      <c r="K126" s="923"/>
      <c r="L126" s="923"/>
      <c r="M126" s="923"/>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23"/>
      <c r="K127" s="923"/>
      <c r="L127" s="923"/>
      <c r="M127" s="923"/>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23" t="e">
        <f>#REF!</f>
        <v>#REF!</v>
      </c>
      <c r="K128" s="923"/>
      <c r="L128" s="923"/>
      <c r="M128" s="923"/>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23" t="e">
        <f>#REF!</f>
        <v>#REF!</v>
      </c>
      <c r="K129" s="923"/>
      <c r="L129" s="923"/>
      <c r="M129" s="923"/>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23" t="e">
        <f>#REF!</f>
        <v>#REF!</v>
      </c>
      <c r="K130" s="923"/>
      <c r="L130" s="923"/>
      <c r="M130" s="923"/>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23" t="e">
        <f>#REF!</f>
        <v>#REF!</v>
      </c>
      <c r="K131" s="923"/>
      <c r="L131" s="923"/>
      <c r="M131" s="923"/>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23" t="e">
        <f>#REF!</f>
        <v>#REF!</v>
      </c>
      <c r="K132" s="923"/>
      <c r="L132" s="923"/>
      <c r="M132" s="923"/>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23" t="e">
        <f>#REF!</f>
        <v>#REF!</v>
      </c>
      <c r="K133" s="923"/>
      <c r="L133" s="923"/>
      <c r="M133" s="923"/>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23" t="e">
        <f>#REF!</f>
        <v>#REF!</v>
      </c>
      <c r="K134" s="923"/>
      <c r="L134" s="923"/>
      <c r="M134" s="923"/>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23"/>
      <c r="K135" s="923"/>
      <c r="L135" s="923"/>
      <c r="M135" s="923"/>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23" t="e">
        <f>#REF!</f>
        <v>#REF!</v>
      </c>
      <c r="K136" s="923"/>
      <c r="L136" s="923"/>
      <c r="M136" s="923"/>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23" t="e">
        <f>#REF!</f>
        <v>#REF!</v>
      </c>
      <c r="K137" s="923"/>
      <c r="L137" s="923"/>
      <c r="M137" s="923"/>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23" t="e">
        <f>#REF!</f>
        <v>#REF!</v>
      </c>
      <c r="K138" s="923"/>
      <c r="L138" s="923"/>
      <c r="M138" s="923"/>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23" t="e">
        <f>#REF!</f>
        <v>#REF!</v>
      </c>
      <c r="K139" s="923"/>
      <c r="L139" s="923"/>
      <c r="M139" s="923"/>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23" t="e">
        <f>#REF!</f>
        <v>#REF!</v>
      </c>
      <c r="K140" s="923"/>
      <c r="L140" s="923"/>
      <c r="M140" s="923"/>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23" t="e">
        <f>#REF!</f>
        <v>#REF!</v>
      </c>
      <c r="K141" s="923"/>
      <c r="L141" s="923"/>
      <c r="M141" s="923"/>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23" t="e">
        <f>#REF!</f>
        <v>#REF!</v>
      </c>
      <c r="K142" s="923"/>
      <c r="L142" s="923"/>
      <c r="M142" s="923"/>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23" t="e">
        <f>#REF!</f>
        <v>#REF!</v>
      </c>
      <c r="K143" s="923"/>
      <c r="L143" s="923"/>
      <c r="M143" s="923"/>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23" t="e">
        <f>#REF!</f>
        <v>#REF!</v>
      </c>
      <c r="K144" s="923"/>
      <c r="L144" s="923"/>
      <c r="M144" s="923"/>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23" t="e">
        <f>#REF!</f>
        <v>#REF!</v>
      </c>
      <c r="K145" s="923"/>
      <c r="L145" s="923"/>
      <c r="M145" s="923"/>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23"/>
      <c r="K146" s="923"/>
      <c r="L146" s="923"/>
      <c r="M146" s="923"/>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23" t="e">
        <f>#REF!</f>
        <v>#REF!</v>
      </c>
      <c r="K147" s="923"/>
      <c r="L147" s="923"/>
      <c r="M147" s="923"/>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23" t="e">
        <f>#REF!</f>
        <v>#REF!</v>
      </c>
      <c r="K148" s="923"/>
      <c r="L148" s="923"/>
      <c r="M148" s="923"/>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23" t="e">
        <f>#REF!</f>
        <v>#REF!</v>
      </c>
      <c r="K149" s="923"/>
      <c r="L149" s="923"/>
      <c r="M149" s="923"/>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23" t="e">
        <f>#REF!</f>
        <v>#REF!</v>
      </c>
      <c r="K150" s="923"/>
      <c r="L150" s="923"/>
      <c r="M150" s="923"/>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23"/>
      <c r="K151" s="923"/>
      <c r="L151" s="923"/>
      <c r="M151" s="923"/>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23" t="e">
        <f>#REF!</f>
        <v>#REF!</v>
      </c>
      <c r="K152" s="923"/>
      <c r="L152" s="923"/>
      <c r="M152" s="923"/>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23" t="e">
        <f>#REF!</f>
        <v>#REF!</v>
      </c>
      <c r="K153" s="923"/>
      <c r="L153" s="923"/>
      <c r="M153" s="923"/>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23" t="e">
        <f>#REF!</f>
        <v>#REF!</v>
      </c>
      <c r="K154" s="923"/>
      <c r="L154" s="923"/>
      <c r="M154" s="923"/>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23" t="e">
        <f>#REF!</f>
        <v>#REF!</v>
      </c>
      <c r="K155" s="923"/>
      <c r="L155" s="923"/>
      <c r="M155" s="923"/>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23"/>
      <c r="K156" s="923"/>
      <c r="L156" s="923"/>
      <c r="M156" s="923"/>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23" t="e">
        <f>#REF!</f>
        <v>#REF!</v>
      </c>
      <c r="K157" s="923"/>
      <c r="L157" s="923"/>
      <c r="M157" s="923"/>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23" t="e">
        <f>#REF!</f>
        <v>#REF!</v>
      </c>
      <c r="K158" s="923"/>
      <c r="L158" s="923"/>
      <c r="M158" s="923"/>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23" t="e">
        <f>#REF!</f>
        <v>#REF!</v>
      </c>
      <c r="K159" s="923"/>
      <c r="L159" s="923"/>
      <c r="M159" s="923"/>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23"/>
      <c r="K160" s="923"/>
      <c r="L160" s="923"/>
      <c r="M160" s="923"/>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23" t="e">
        <f>#REF!</f>
        <v>#REF!</v>
      </c>
      <c r="K161" s="923"/>
      <c r="L161" s="923"/>
      <c r="M161" s="923"/>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23" t="e">
        <f>#REF!</f>
        <v>#REF!</v>
      </c>
      <c r="K162" s="923"/>
      <c r="L162" s="923"/>
      <c r="M162" s="923"/>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23" t="e">
        <f>#REF!</f>
        <v>#REF!</v>
      </c>
      <c r="K163" s="923"/>
      <c r="L163" s="923"/>
      <c r="M163" s="923"/>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23" t="e">
        <f>#REF!</f>
        <v>#REF!</v>
      </c>
      <c r="K164" s="923"/>
      <c r="L164" s="923"/>
      <c r="M164" s="923"/>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23" t="e">
        <f>#REF!</f>
        <v>#REF!</v>
      </c>
      <c r="K165" s="923"/>
      <c r="L165" s="923"/>
      <c r="M165" s="923"/>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23" t="e">
        <f>#REF!</f>
        <v>#REF!</v>
      </c>
      <c r="K166" s="923"/>
      <c r="L166" s="923"/>
      <c r="M166" s="923"/>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23" t="e">
        <f>#REF!</f>
        <v>#REF!</v>
      </c>
      <c r="K167" s="923"/>
      <c r="L167" s="923"/>
      <c r="M167" s="923"/>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23"/>
      <c r="K168" s="923"/>
      <c r="L168" s="923"/>
      <c r="M168" s="923"/>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23" t="e">
        <f>#REF!</f>
        <v>#REF!</v>
      </c>
      <c r="K169" s="923"/>
      <c r="L169" s="923"/>
      <c r="M169" s="923"/>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23" t="e">
        <f>#REF!</f>
        <v>#REF!</v>
      </c>
      <c r="K170" s="923"/>
      <c r="L170" s="923"/>
      <c r="M170" s="923"/>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23" t="e">
        <f>#REF!</f>
        <v>#REF!</v>
      </c>
      <c r="K171" s="923"/>
      <c r="L171" s="923"/>
      <c r="M171" s="923"/>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23" t="e">
        <f>#REF!</f>
        <v>#REF!</v>
      </c>
      <c r="K172" s="923"/>
      <c r="L172" s="923"/>
      <c r="M172" s="923"/>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23"/>
      <c r="K173" s="923"/>
      <c r="L173" s="923"/>
      <c r="M173" s="923"/>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23" t="e">
        <f>#REF!</f>
        <v>#REF!</v>
      </c>
      <c r="K174" s="923"/>
      <c r="L174" s="923"/>
      <c r="M174" s="923"/>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23" t="e">
        <f>#REF!</f>
        <v>#REF!</v>
      </c>
      <c r="K175" s="923"/>
      <c r="L175" s="923"/>
      <c r="M175" s="923"/>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23" t="e">
        <f>#REF!</f>
        <v>#REF!</v>
      </c>
      <c r="K176" s="923"/>
      <c r="L176" s="923"/>
      <c r="M176" s="923"/>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23" t="e">
        <f>#REF!</f>
        <v>#REF!</v>
      </c>
      <c r="K177" s="923"/>
      <c r="L177" s="923"/>
      <c r="M177" s="923"/>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23" t="e">
        <f>#REF!</f>
        <v>#REF!</v>
      </c>
      <c r="K178" s="923"/>
      <c r="L178" s="923"/>
      <c r="M178" s="923"/>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23" t="e">
        <f>#REF!</f>
        <v>#REF!</v>
      </c>
      <c r="K179" s="923"/>
      <c r="L179" s="923"/>
      <c r="M179" s="923"/>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23" t="e">
        <f>#REF!</f>
        <v>#REF!</v>
      </c>
      <c r="K180" s="923"/>
      <c r="L180" s="923"/>
      <c r="M180" s="923"/>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26"/>
      <c r="K181" s="926"/>
      <c r="L181" s="926"/>
      <c r="M181" s="926"/>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algorithmName="SHA-512" hashValue="cZ9DY/bUWd3zU5AeUSDxgNCi05JXAZB4KP171lMpg666vaXG6YGBJanCNN8k47OhmBn/pKuES6yaa6OXK3d4sw==" saltValue="e3o33RCDH1jjonDXMC6dXA==" spinCount="100000" sheet="1" formatColumns="0" formatRows="0" selectLockedCells="1"/>
  <customSheetViews>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3"/>
    </customSheetView>
    <customSheetView guid="{CCA37BAE-906F-43D5-9FD9-B13563E4B9D7}" showPageBreaks="1" printArea="1" hiddenRows="1" hiddenColumns="1" view="pageBreakPreview">
      <selection activeCell="D16" sqref="D16"/>
      <pageMargins left="0.7" right="0.7" top="0.75" bottom="0.75" header="0.3" footer="0.3"/>
      <pageSetup paperSize="9" scale="57" orientation="landscape" r:id="rId4"/>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10"/>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6" zoomScaleNormal="70" zoomScaleSheetLayoutView="100" workbookViewId="0">
      <selection activeCell="G15" sqref="G15"/>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32" t="s">
        <v>165</v>
      </c>
      <c r="B1" s="932"/>
      <c r="C1" s="932"/>
      <c r="D1" s="932"/>
      <c r="E1" s="932"/>
      <c r="F1" s="932"/>
      <c r="G1" s="932"/>
      <c r="H1" s="144"/>
      <c r="I1" s="145"/>
      <c r="J1" s="146"/>
      <c r="K1" s="146"/>
      <c r="L1" s="146"/>
      <c r="M1" s="146"/>
      <c r="N1" s="146"/>
      <c r="O1" s="146"/>
      <c r="P1" s="146"/>
      <c r="Q1" s="146"/>
      <c r="R1" s="146"/>
      <c r="S1" s="146"/>
      <c r="T1" s="146"/>
      <c r="U1" s="147"/>
      <c r="V1" s="147"/>
      <c r="W1" s="147"/>
      <c r="X1" s="148"/>
      <c r="Y1" s="148"/>
    </row>
    <row r="2" spans="1:25" ht="18" customHeight="1">
      <c r="A2" s="113" t="str">
        <f>Cover!B3</f>
        <v xml:space="preserve">5002002027/GIS-EXCLUDING/DOM/A04-CC CS-5   </v>
      </c>
      <c r="B2" s="113"/>
      <c r="C2" s="114"/>
      <c r="D2" s="150"/>
      <c r="E2" s="150"/>
      <c r="F2" s="150"/>
      <c r="G2" s="116" t="s">
        <v>166</v>
      </c>
    </row>
    <row r="3" spans="1:25" ht="12.75" customHeight="1">
      <c r="A3" s="117"/>
      <c r="B3" s="117"/>
      <c r="C3" s="118"/>
      <c r="D3" s="139"/>
      <c r="E3" s="139"/>
      <c r="F3" s="139"/>
      <c r="G3" s="119"/>
    </row>
    <row r="4" spans="1:25" ht="18.95" customHeight="1">
      <c r="A4" s="933" t="s">
        <v>167</v>
      </c>
      <c r="B4" s="933"/>
      <c r="C4" s="933"/>
      <c r="D4" s="933"/>
      <c r="E4" s="933"/>
      <c r="F4" s="933"/>
      <c r="G4" s="933"/>
    </row>
    <row r="5" spans="1:25" ht="21" customHeight="1">
      <c r="A5" s="158" t="s">
        <v>1</v>
      </c>
      <c r="B5" s="158"/>
      <c r="C5" s="159"/>
      <c r="D5" s="159"/>
      <c r="E5" s="159"/>
      <c r="F5" s="159"/>
      <c r="G5" s="159"/>
    </row>
    <row r="6" spans="1:25" ht="21" customHeight="1">
      <c r="A6" s="27" t="s">
        <v>2</v>
      </c>
      <c r="B6" s="27"/>
      <c r="C6" s="159"/>
      <c r="D6" s="159"/>
      <c r="E6" s="159"/>
      <c r="F6" s="159"/>
      <c r="G6" s="159"/>
      <c r="I6" s="633" t="s">
        <v>234</v>
      </c>
      <c r="J6" s="740">
        <f>'Sch-1'!N68</f>
        <v>0</v>
      </c>
      <c r="K6" s="632"/>
      <c r="L6" s="448"/>
    </row>
    <row r="7" spans="1:25" ht="21" customHeight="1">
      <c r="A7" s="27" t="s">
        <v>3</v>
      </c>
      <c r="B7" s="27"/>
      <c r="C7" s="159"/>
      <c r="D7" s="159"/>
      <c r="E7" s="159"/>
      <c r="F7" s="159"/>
      <c r="G7" s="159"/>
      <c r="I7" s="633" t="s">
        <v>236</v>
      </c>
      <c r="J7" s="740">
        <f>'Sch-2'!J68</f>
        <v>0</v>
      </c>
      <c r="K7" s="632"/>
    </row>
    <row r="8" spans="1:25" ht="21" customHeight="1">
      <c r="A8" s="27" t="s">
        <v>4</v>
      </c>
      <c r="B8" s="27"/>
      <c r="C8" s="159"/>
      <c r="D8" s="159"/>
      <c r="E8" s="159"/>
      <c r="F8" s="159"/>
      <c r="G8" s="159"/>
      <c r="I8" s="633" t="s">
        <v>237</v>
      </c>
      <c r="J8" s="740">
        <f>'Sch-3'!P87</f>
        <v>0</v>
      </c>
      <c r="K8" s="632"/>
    </row>
    <row r="9" spans="1:25" ht="21" customHeight="1">
      <c r="A9" s="27" t="s">
        <v>168</v>
      </c>
      <c r="B9" s="27"/>
      <c r="C9" s="159"/>
      <c r="D9" s="159"/>
      <c r="E9" s="159"/>
      <c r="F9" s="159"/>
      <c r="G9" s="159"/>
      <c r="I9" s="634" t="s">
        <v>197</v>
      </c>
      <c r="J9" s="741">
        <f>J6+J7+J8</f>
        <v>0</v>
      </c>
      <c r="K9" s="632"/>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129" customHeight="1">
      <c r="A12" s="160" t="s">
        <v>169</v>
      </c>
      <c r="B12" s="533"/>
      <c r="C12" s="934" t="str">
        <f>Cover!$B$2</f>
        <v xml:space="preserve">GIS Substation Package SS02 for extension of 400/220kV Kurukshetra GIS Substation associated with Augmentation of transformation capacity at 400/220kV Kurukshetra S/S &amp; Patiala S/S
</v>
      </c>
      <c r="D12" s="934"/>
      <c r="E12" s="934"/>
      <c r="F12" s="934"/>
      <c r="G12" s="934"/>
      <c r="J12" s="448"/>
    </row>
    <row r="13" spans="1:25" ht="21" customHeight="1" thickBot="1">
      <c r="A13" s="161" t="s">
        <v>170</v>
      </c>
      <c r="B13" s="161"/>
      <c r="C13" s="162"/>
      <c r="D13" s="161"/>
      <c r="E13" s="161"/>
      <c r="F13" s="161"/>
      <c r="G13" s="161"/>
      <c r="H13" s="442"/>
      <c r="K13" s="170"/>
      <c r="L13" s="170"/>
      <c r="M13" s="170"/>
    </row>
    <row r="14" spans="1:25" ht="41.25" customHeight="1" thickBot="1">
      <c r="A14" s="935" t="s">
        <v>171</v>
      </c>
      <c r="B14" s="935"/>
      <c r="C14" s="935"/>
      <c r="D14" s="935"/>
      <c r="E14" s="935"/>
      <c r="F14" s="935"/>
      <c r="G14" s="935"/>
      <c r="H14" s="647" t="s">
        <v>343</v>
      </c>
      <c r="I14" s="647" t="s">
        <v>344</v>
      </c>
      <c r="J14" s="648" t="s">
        <v>345</v>
      </c>
      <c r="K14" s="170"/>
      <c r="L14" s="170"/>
      <c r="M14" s="170"/>
      <c r="N14" s="163"/>
    </row>
    <row r="15" spans="1:25" ht="56.25" customHeight="1">
      <c r="B15" s="165">
        <v>1</v>
      </c>
      <c r="C15" s="939" t="s">
        <v>335</v>
      </c>
      <c r="D15" s="937"/>
      <c r="E15" s="937"/>
      <c r="F15" s="938"/>
      <c r="G15" s="166"/>
      <c r="H15" s="710">
        <f>IF(J6=0,0,(G15/J9)*J6)</f>
        <v>0</v>
      </c>
      <c r="I15" s="711">
        <f>IF(J7=0,0,(G15/J9)*J7)</f>
        <v>0</v>
      </c>
      <c r="J15" s="710">
        <f>IF(J8,(G15/J9)*J8,0)</f>
        <v>0</v>
      </c>
      <c r="K15" s="170"/>
      <c r="L15" s="170"/>
      <c r="M15" s="170"/>
    </row>
    <row r="16" spans="1:25" ht="55.5" customHeight="1">
      <c r="B16" s="165">
        <v>2</v>
      </c>
      <c r="C16" s="936" t="s">
        <v>336</v>
      </c>
      <c r="D16" s="937"/>
      <c r="E16" s="937"/>
      <c r="F16" s="938"/>
      <c r="G16" s="167"/>
      <c r="H16" s="712">
        <f>G16*J6</f>
        <v>0</v>
      </c>
      <c r="I16" s="713">
        <f>G16*J7</f>
        <v>0</v>
      </c>
      <c r="J16" s="712">
        <f>G16*J8</f>
        <v>0</v>
      </c>
      <c r="K16" s="170"/>
      <c r="L16" s="170"/>
      <c r="M16" s="170"/>
    </row>
    <row r="17" spans="1:25" s="168" customFormat="1" ht="39.75" customHeight="1" thickBot="1">
      <c r="B17" s="169">
        <v>3</v>
      </c>
      <c r="C17" s="927" t="s">
        <v>172</v>
      </c>
      <c r="D17" s="928"/>
      <c r="E17" s="928"/>
      <c r="F17" s="929"/>
      <c r="G17" s="439"/>
      <c r="H17" s="712"/>
      <c r="I17" s="712"/>
      <c r="J17" s="712"/>
      <c r="K17" s="170"/>
      <c r="L17" s="170"/>
      <c r="M17" s="170"/>
      <c r="N17" s="170"/>
      <c r="O17" s="170"/>
      <c r="P17" s="170"/>
      <c r="Q17" s="170"/>
      <c r="R17" s="171"/>
      <c r="S17" s="171"/>
      <c r="T17" s="171"/>
      <c r="U17" s="172"/>
      <c r="V17" s="172"/>
      <c r="W17" s="172"/>
      <c r="X17" s="173"/>
      <c r="Y17" s="173"/>
    </row>
    <row r="18" spans="1:25" s="168" customFormat="1" ht="21" customHeight="1" thickBot="1">
      <c r="B18" s="174"/>
      <c r="C18" s="930" t="s">
        <v>337</v>
      </c>
      <c r="D18" s="931"/>
      <c r="E18" s="931"/>
      <c r="F18" s="175" t="s">
        <v>173</v>
      </c>
      <c r="G18" s="440"/>
      <c r="H18" s="714">
        <f>G18</f>
        <v>0</v>
      </c>
      <c r="I18" s="715"/>
      <c r="J18" s="712"/>
      <c r="K18" s="170"/>
      <c r="L18" s="170"/>
      <c r="M18" s="170"/>
      <c r="N18" s="177"/>
      <c r="O18" s="176"/>
      <c r="P18" s="170"/>
      <c r="Q18" s="170"/>
      <c r="R18" s="171"/>
      <c r="S18" s="171"/>
      <c r="T18" s="171"/>
      <c r="U18" s="172"/>
      <c r="V18" s="172"/>
      <c r="W18" s="172"/>
      <c r="X18" s="173"/>
      <c r="Y18" s="173"/>
    </row>
    <row r="19" spans="1:25" s="168" customFormat="1" ht="33" customHeight="1" thickBot="1">
      <c r="B19" s="174"/>
      <c r="C19" s="946" t="s">
        <v>362</v>
      </c>
      <c r="D19" s="947"/>
      <c r="E19" s="947"/>
      <c r="F19" s="175" t="s">
        <v>173</v>
      </c>
      <c r="G19" s="440"/>
      <c r="H19" s="716"/>
      <c r="I19" s="714">
        <f>G19</f>
        <v>0</v>
      </c>
      <c r="J19" s="717"/>
      <c r="K19" s="170"/>
      <c r="L19" s="170"/>
      <c r="M19" s="170"/>
      <c r="N19" s="177"/>
      <c r="O19" s="176"/>
      <c r="P19" s="170"/>
      <c r="Q19" s="170"/>
      <c r="R19" s="171"/>
      <c r="S19" s="171"/>
      <c r="T19" s="171"/>
      <c r="U19" s="172"/>
      <c r="V19" s="172"/>
      <c r="W19" s="172"/>
      <c r="X19" s="173"/>
      <c r="Y19" s="173"/>
    </row>
    <row r="20" spans="1:25" s="168" customFormat="1" ht="21" customHeight="1" thickBot="1">
      <c r="B20" s="174"/>
      <c r="C20" s="930" t="s">
        <v>338</v>
      </c>
      <c r="D20" s="931"/>
      <c r="E20" s="931"/>
      <c r="F20" s="175" t="s">
        <v>173</v>
      </c>
      <c r="G20" s="440"/>
      <c r="H20" s="712"/>
      <c r="I20" s="711"/>
      <c r="J20" s="714">
        <f>G20</f>
        <v>0</v>
      </c>
      <c r="K20" s="170"/>
      <c r="L20" s="170"/>
      <c r="M20" s="170"/>
      <c r="N20" s="177"/>
      <c r="O20" s="176"/>
      <c r="P20" s="170"/>
      <c r="Q20" s="170"/>
      <c r="R20" s="171"/>
      <c r="S20" s="171"/>
      <c r="T20" s="171"/>
      <c r="U20" s="172"/>
      <c r="V20" s="172"/>
      <c r="W20" s="172"/>
      <c r="X20" s="173"/>
      <c r="Y20" s="173"/>
    </row>
    <row r="21" spans="1:25" s="168" customFormat="1" ht="21" customHeight="1">
      <c r="B21" s="174"/>
      <c r="C21" s="930" t="s">
        <v>339</v>
      </c>
      <c r="D21" s="931"/>
      <c r="E21" s="931"/>
      <c r="F21" s="175" t="s">
        <v>173</v>
      </c>
      <c r="G21" s="449"/>
      <c r="H21" s="712"/>
      <c r="I21" s="713"/>
      <c r="J21" s="710"/>
      <c r="K21" s="170"/>
      <c r="L21" s="170"/>
      <c r="M21" s="170"/>
      <c r="N21" s="177"/>
      <c r="O21" s="176"/>
      <c r="P21" s="170"/>
      <c r="Q21" s="170"/>
      <c r="R21" s="171"/>
      <c r="S21" s="171"/>
      <c r="T21" s="171"/>
      <c r="U21" s="172"/>
      <c r="V21" s="172"/>
      <c r="W21" s="172"/>
      <c r="X21" s="173"/>
      <c r="Y21" s="173"/>
    </row>
    <row r="22" spans="1:25" s="168" customFormat="1" ht="21" customHeight="1">
      <c r="B22" s="178"/>
      <c r="C22" s="930" t="s">
        <v>174</v>
      </c>
      <c r="D22" s="931"/>
      <c r="E22" s="931"/>
      <c r="F22" s="179" t="s">
        <v>173</v>
      </c>
      <c r="G22" s="449"/>
      <c r="H22" s="712"/>
      <c r="I22" s="713"/>
      <c r="J22" s="712"/>
      <c r="K22" s="170"/>
      <c r="L22" s="170"/>
      <c r="M22" s="170"/>
      <c r="N22" s="177"/>
      <c r="O22" s="176"/>
      <c r="P22" s="170"/>
      <c r="Q22" s="170"/>
      <c r="R22" s="171"/>
      <c r="S22" s="171"/>
      <c r="T22" s="171"/>
      <c r="U22" s="172"/>
      <c r="V22" s="172"/>
      <c r="W22" s="172"/>
      <c r="X22" s="173"/>
      <c r="Y22" s="173"/>
    </row>
    <row r="23" spans="1:25" s="168" customFormat="1" ht="54.95" customHeight="1" thickBot="1">
      <c r="B23" s="169">
        <v>4</v>
      </c>
      <c r="C23" s="942" t="s">
        <v>175</v>
      </c>
      <c r="D23" s="943"/>
      <c r="E23" s="943"/>
      <c r="F23" s="944"/>
      <c r="G23" s="439"/>
      <c r="H23" s="718"/>
      <c r="I23" s="713"/>
      <c r="J23" s="71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30" t="s">
        <v>337</v>
      </c>
      <c r="D24" s="931"/>
      <c r="E24" s="931"/>
      <c r="F24" s="175" t="s">
        <v>176</v>
      </c>
      <c r="G24" s="441"/>
      <c r="H24" s="719">
        <f>G24*J6</f>
        <v>0</v>
      </c>
      <c r="I24" s="715"/>
      <c r="J24" s="71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48" t="s">
        <v>362</v>
      </c>
      <c r="D25" s="949"/>
      <c r="E25" s="949"/>
      <c r="F25" s="175" t="s">
        <v>176</v>
      </c>
      <c r="G25" s="441"/>
      <c r="H25" s="720"/>
      <c r="I25" s="714">
        <f>G25*J7</f>
        <v>0</v>
      </c>
      <c r="J25" s="71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30" t="s">
        <v>338</v>
      </c>
      <c r="D26" s="931"/>
      <c r="E26" s="931"/>
      <c r="F26" s="175" t="s">
        <v>176</v>
      </c>
      <c r="G26" s="441"/>
      <c r="H26" s="718"/>
      <c r="I26" s="711"/>
      <c r="J26" s="71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30" t="s">
        <v>339</v>
      </c>
      <c r="D27" s="931"/>
      <c r="E27" s="931"/>
      <c r="F27" s="175" t="s">
        <v>176</v>
      </c>
      <c r="G27" s="450"/>
      <c r="H27" s="718"/>
      <c r="I27" s="713"/>
      <c r="J27" s="710"/>
      <c r="K27" s="170"/>
      <c r="L27" s="170"/>
      <c r="M27" s="170"/>
      <c r="N27" s="170"/>
      <c r="O27" s="170"/>
      <c r="P27" s="170"/>
      <c r="Q27" s="170"/>
      <c r="R27" s="171"/>
      <c r="S27" s="171"/>
      <c r="T27" s="171"/>
      <c r="U27" s="172"/>
      <c r="V27" s="172"/>
      <c r="W27" s="172"/>
      <c r="X27" s="173"/>
      <c r="Y27" s="173"/>
    </row>
    <row r="28" spans="1:25" s="168" customFormat="1" ht="21" customHeight="1">
      <c r="A28" s="180"/>
      <c r="B28" s="178"/>
      <c r="C28" s="953" t="s">
        <v>174</v>
      </c>
      <c r="D28" s="954"/>
      <c r="E28" s="954"/>
      <c r="F28" s="179" t="s">
        <v>176</v>
      </c>
      <c r="G28" s="450"/>
      <c r="H28" s="718"/>
      <c r="I28" s="713"/>
      <c r="J28" s="712"/>
      <c r="K28" s="170"/>
      <c r="L28" s="170"/>
      <c r="M28" s="170"/>
      <c r="N28" s="170"/>
      <c r="O28" s="170"/>
      <c r="P28" s="170"/>
      <c r="Q28" s="170"/>
      <c r="R28" s="171"/>
      <c r="S28" s="171"/>
      <c r="T28" s="171"/>
      <c r="U28" s="172"/>
      <c r="V28" s="172"/>
      <c r="W28" s="172"/>
      <c r="X28" s="173"/>
      <c r="Y28" s="173"/>
    </row>
    <row r="29" spans="1:25" s="168" customFormat="1" hidden="1">
      <c r="A29" s="180"/>
      <c r="B29" s="181"/>
      <c r="C29" s="940" t="s">
        <v>177</v>
      </c>
      <c r="D29" s="941"/>
      <c r="E29" s="941"/>
      <c r="F29" s="941"/>
      <c r="G29" s="941"/>
      <c r="H29" s="721"/>
      <c r="I29" s="721"/>
      <c r="J29" s="72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50" t="s">
        <v>178</v>
      </c>
      <c r="D30" s="950"/>
      <c r="E30" s="950"/>
      <c r="F30" s="950"/>
      <c r="G30" s="950"/>
      <c r="H30" s="722"/>
      <c r="I30" s="722"/>
      <c r="J30" s="722"/>
      <c r="K30" s="170"/>
      <c r="L30" s="170"/>
      <c r="M30" s="170"/>
      <c r="N30" s="170"/>
      <c r="O30" s="170"/>
      <c r="P30" s="170"/>
      <c r="Q30" s="170"/>
      <c r="R30" s="171"/>
      <c r="S30" s="171"/>
      <c r="T30" s="171"/>
      <c r="U30" s="172"/>
      <c r="V30" s="172"/>
      <c r="W30" s="172"/>
      <c r="X30" s="173"/>
      <c r="Y30" s="173"/>
    </row>
    <row r="31" spans="1:25" s="168" customFormat="1" ht="48.75" hidden="1" customHeight="1">
      <c r="A31" s="180"/>
      <c r="B31" s="951"/>
      <c r="C31" s="951"/>
      <c r="D31" s="951"/>
      <c r="E31" s="951"/>
      <c r="F31" s="951"/>
      <c r="G31" s="951"/>
      <c r="H31" s="723">
        <f>SUM(H15:H28)</f>
        <v>0</v>
      </c>
      <c r="I31" s="723">
        <f>SUM(I15:I28)</f>
        <v>0</v>
      </c>
      <c r="J31" s="72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50" t="s">
        <v>179</v>
      </c>
      <c r="D32" s="952"/>
      <c r="E32" s="952"/>
      <c r="F32" s="952"/>
      <c r="G32" s="952"/>
      <c r="H32" s="724" t="e">
        <f>(1-(H31/I2))</f>
        <v>#DIV/0!</v>
      </c>
      <c r="I32" s="724" t="e">
        <f>(1-(I31/I3))</f>
        <v>#DIV/0!</v>
      </c>
      <c r="J32" s="72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45" t="s">
        <v>340</v>
      </c>
      <c r="B33" s="945"/>
      <c r="C33" s="945"/>
      <c r="D33" s="945"/>
      <c r="E33" s="945"/>
      <c r="F33" s="945"/>
      <c r="G33" s="945"/>
      <c r="H33" s="726"/>
      <c r="I33" s="726"/>
      <c r="J33" s="726"/>
      <c r="K33" s="170"/>
      <c r="L33" s="170"/>
      <c r="M33" s="170"/>
      <c r="N33" s="170"/>
      <c r="O33" s="170"/>
      <c r="P33" s="170"/>
      <c r="Q33" s="170"/>
      <c r="R33" s="171"/>
      <c r="S33" s="171"/>
      <c r="T33" s="171"/>
      <c r="U33" s="172"/>
      <c r="V33" s="172"/>
      <c r="W33" s="172"/>
      <c r="X33" s="173"/>
      <c r="Y33" s="173"/>
    </row>
    <row r="34" spans="1:25" s="168" customFormat="1" ht="18.75" customHeight="1" thickBot="1">
      <c r="A34" s="161" t="s">
        <v>180</v>
      </c>
      <c r="B34" s="183"/>
      <c r="C34" s="184"/>
      <c r="E34" s="185"/>
      <c r="F34" s="185"/>
      <c r="G34" s="186"/>
      <c r="H34" s="726"/>
      <c r="I34" s="726"/>
      <c r="J34" s="726"/>
      <c r="K34" s="170"/>
      <c r="L34" s="170"/>
      <c r="M34" s="170"/>
      <c r="N34" s="170"/>
      <c r="O34" s="170"/>
      <c r="P34" s="170"/>
      <c r="Q34" s="170"/>
      <c r="R34" s="171"/>
      <c r="S34" s="171"/>
      <c r="T34" s="171"/>
      <c r="U34" s="172"/>
      <c r="V34" s="172"/>
      <c r="W34" s="172"/>
      <c r="X34" s="173"/>
      <c r="Y34" s="173"/>
    </row>
    <row r="35" spans="1:25" s="168" customFormat="1" ht="21" customHeight="1" thickBot="1">
      <c r="A35" s="187" t="s">
        <v>181</v>
      </c>
      <c r="B35" s="183"/>
      <c r="C35" s="184"/>
      <c r="E35" s="185"/>
      <c r="F35" s="185"/>
      <c r="G35" s="186"/>
      <c r="H35" s="727">
        <f>SUM(H15:H26)</f>
        <v>0</v>
      </c>
      <c r="I35" s="728">
        <f>SUM(I15:I26)</f>
        <v>0</v>
      </c>
      <c r="J35" s="729">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182</v>
      </c>
      <c r="H36" s="650">
        <f>IF(J6=0,0,1-(H35/J6))</f>
        <v>0</v>
      </c>
      <c r="I36" s="650">
        <f>IF(J7=0,0,1-(I35/J7))</f>
        <v>0</v>
      </c>
      <c r="J36" s="651">
        <f>IF(J8=0,0,1-(J35/J8))</f>
        <v>0</v>
      </c>
      <c r="K36" s="624" t="s">
        <v>363</v>
      </c>
    </row>
    <row r="37" spans="1:25" ht="19.5" customHeight="1">
      <c r="A37" s="190"/>
      <c r="B37" s="190"/>
      <c r="C37" s="191"/>
      <c r="D37" s="189"/>
      <c r="E37" s="187"/>
      <c r="F37" s="187"/>
      <c r="G37" s="618"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183</v>
      </c>
      <c r="B39" s="197"/>
      <c r="C39" s="670" t="str">
        <f>'Sch-7'!C21:D21</f>
        <v xml:space="preserve">  </v>
      </c>
      <c r="D39" s="194"/>
      <c r="E39" s="195" t="s">
        <v>184</v>
      </c>
      <c r="F39" s="734">
        <f>'Names of Bidder'!D24</f>
        <v>0</v>
      </c>
      <c r="G39" s="735"/>
      <c r="H39" s="448"/>
    </row>
    <row r="40" spans="1:25" ht="23.25" customHeight="1">
      <c r="A40" s="197" t="s">
        <v>185</v>
      </c>
      <c r="B40" s="197"/>
      <c r="C40" s="671" t="str">
        <f>'Sch-7'!C22:D22</f>
        <v/>
      </c>
      <c r="D40" s="198"/>
      <c r="E40" s="195" t="s">
        <v>186</v>
      </c>
      <c r="F40" s="734">
        <f>'Names of Bidder'!D25</f>
        <v>0</v>
      </c>
      <c r="G40" s="735"/>
      <c r="H40" s="153"/>
    </row>
  </sheetData>
  <sheetProtection algorithmName="SHA-512" hashValue="o2EVyWTJ/23GQossKffOcGCBWB5fvj58yB5zl6zclemVxkbgiXqfqFGsK157y+jxgmu3cszJ98hWP015JS40HQ==" saltValue="c2Vc0/AElr47qQvWEjHPow==" spinCount="100000" sheet="1" formatColumns="0" formatRows="0" selectLockedCells="1"/>
  <customSheetViews>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1"/>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5" t="s">
        <v>187</v>
      </c>
      <c r="B2" s="955"/>
      <c r="C2" s="955"/>
      <c r="D2" s="955"/>
      <c r="E2" s="188"/>
    </row>
    <row r="3" spans="1:6">
      <c r="A3" s="199"/>
      <c r="B3" s="200"/>
      <c r="C3" s="200"/>
      <c r="D3" s="200"/>
      <c r="E3" s="200"/>
    </row>
    <row r="4" spans="1:6" ht="30">
      <c r="A4" s="201" t="s">
        <v>188</v>
      </c>
      <c r="B4" s="202" t="s">
        <v>189</v>
      </c>
      <c r="C4" s="201" t="s">
        <v>141</v>
      </c>
      <c r="D4" s="201" t="s">
        <v>190</v>
      </c>
      <c r="E4" s="201" t="s">
        <v>191</v>
      </c>
    </row>
    <row r="5" spans="1:6" ht="18" customHeight="1">
      <c r="A5" s="203" t="s">
        <v>192</v>
      </c>
      <c r="B5" s="203" t="s">
        <v>193</v>
      </c>
      <c r="C5" s="203" t="s">
        <v>194</v>
      </c>
      <c r="D5" s="203" t="s">
        <v>195</v>
      </c>
      <c r="E5" s="203" t="s">
        <v>196</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12A89170-4F84-482D-A3C5-7890082E7B73}" state="hidden" topLeftCell="A4">
      <selection activeCell="D6" sqref="D6"/>
      <pageMargins left="0.75" right="0.75" top="0.65" bottom="1" header="0.5" footer="0.5"/>
      <pageSetup orientation="portrait" r:id="rId1"/>
      <headerFooter alignWithMargins="0"/>
    </customSheetView>
    <customSheetView guid="{D5521983-A70D-48A3-9506-C0263CBBC57D}" state="hidden" topLeftCell="A4">
      <selection activeCell="D6" sqref="D6"/>
      <pageMargins left="0.75" right="0.75" top="0.65" bottom="1" header="0.5" footer="0.5"/>
      <pageSetup orientation="portrait" r:id="rId2"/>
      <headerFooter alignWithMargins="0"/>
    </customSheetView>
    <customSheetView guid="{63D51328-7CBC-4A1E-B96D-BAE91416501B}"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497EA202-A8B8-45C5-9E6C-C3CD104F3979}"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7AB1F867-F01E-4EB9-A93D-DDCFDB9AA444}" state="hidden" topLeftCell="A4">
      <selection activeCell="D6" sqref="D6"/>
      <pageMargins left="0.75" right="0.75" top="0.65" bottom="1" header="0.5" footer="0.5"/>
      <pageSetup orientation="portrait" r:id="rId10"/>
      <headerFooter alignWithMargins="0"/>
    </customSheetView>
  </customSheetViews>
  <mergeCells count="1">
    <mergeCell ref="A2:D2"/>
  </mergeCells>
  <pageMargins left="0.75" right="0.75" top="0.65" bottom="1" header="0.5" footer="0.5"/>
  <pageSetup orientation="portrait"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5" t="s">
        <v>198</v>
      </c>
      <c r="B2" s="955"/>
      <c r="C2" s="955"/>
      <c r="D2" s="956"/>
      <c r="E2" s="34"/>
    </row>
    <row r="3" spans="1:6">
      <c r="A3" s="199"/>
      <c r="B3" s="200"/>
      <c r="C3" s="200"/>
      <c r="D3" s="200"/>
      <c r="E3" s="200"/>
    </row>
    <row r="4" spans="1:6" ht="30">
      <c r="A4" s="201" t="s">
        <v>188</v>
      </c>
      <c r="B4" s="202" t="s">
        <v>189</v>
      </c>
      <c r="C4" s="201" t="s">
        <v>199</v>
      </c>
      <c r="D4" s="201" t="s">
        <v>200</v>
      </c>
      <c r="E4" s="201" t="s">
        <v>201</v>
      </c>
    </row>
    <row r="5" spans="1:6" ht="18" customHeight="1">
      <c r="A5" s="203" t="s">
        <v>192</v>
      </c>
      <c r="B5" s="203" t="s">
        <v>193</v>
      </c>
      <c r="C5" s="203" t="s">
        <v>194</v>
      </c>
      <c r="D5" s="203" t="s">
        <v>195</v>
      </c>
      <c r="E5" s="203" t="s">
        <v>196</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12A89170-4F84-482D-A3C5-7890082E7B73}" state="hidden" topLeftCell="A13">
      <selection activeCell="D6" sqref="D6"/>
      <pageMargins left="0.75" right="0.75" top="0.65" bottom="1" header="0.5" footer="0.5"/>
      <pageSetup orientation="portrait" r:id="rId1"/>
      <headerFooter alignWithMargins="0"/>
    </customSheetView>
    <customSheetView guid="{D5521983-A70D-48A3-9506-C0263CBBC57D}" state="hidden" topLeftCell="A13">
      <selection activeCell="D6" sqref="D6"/>
      <pageMargins left="0.75" right="0.75" top="0.65" bottom="1" header="0.5" footer="0.5"/>
      <pageSetup orientation="portrait" r:id="rId2"/>
      <headerFooter alignWithMargins="0"/>
    </customSheetView>
    <customSheetView guid="{63D51328-7CBC-4A1E-B96D-BAE91416501B}"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497EA202-A8B8-45C5-9E6C-C3CD104F3979}"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7AB1F867-F01E-4EB9-A93D-DDCFDB9AA444}" state="hidden" topLeftCell="A13">
      <selection activeCell="D6" sqref="D6"/>
      <pageMargins left="0.75" right="0.75" top="0.65" bottom="1" header="0.5" footer="0.5"/>
      <pageSetup orientation="portrait" r:id="rId10"/>
      <headerFooter alignWithMargins="0"/>
    </customSheetView>
  </customSheetViews>
  <mergeCells count="1">
    <mergeCell ref="A2:D2"/>
  </mergeCells>
  <pageMargins left="0.75" right="0.75" top="0.65" bottom="1" header="0.5" footer="0.5"/>
  <pageSetup orientation="portrait" r:id="rId11"/>
  <headerFooter alignWithMargins="0"/>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55" t="s">
        <v>202</v>
      </c>
      <c r="B2" s="955"/>
      <c r="C2" s="955"/>
      <c r="D2" s="955"/>
      <c r="E2" s="956"/>
      <c r="F2" s="188"/>
    </row>
    <row r="3" spans="1:7">
      <c r="A3" s="199"/>
      <c r="B3" s="200"/>
      <c r="C3" s="200"/>
      <c r="D3" s="200"/>
      <c r="E3" s="200"/>
      <c r="F3" s="200"/>
    </row>
    <row r="4" spans="1:7" ht="45">
      <c r="A4" s="201" t="s">
        <v>188</v>
      </c>
      <c r="B4" s="202" t="s">
        <v>189</v>
      </c>
      <c r="C4" s="201" t="s">
        <v>203</v>
      </c>
      <c r="D4" s="201" t="s">
        <v>204</v>
      </c>
      <c r="E4" s="201" t="s">
        <v>205</v>
      </c>
      <c r="F4" s="201" t="s">
        <v>206</v>
      </c>
    </row>
    <row r="5" spans="1:7" ht="18" customHeight="1">
      <c r="A5" s="203" t="s">
        <v>192</v>
      </c>
      <c r="B5" s="203" t="s">
        <v>193</v>
      </c>
      <c r="C5" s="203" t="s">
        <v>194</v>
      </c>
      <c r="D5" s="203" t="s">
        <v>195</v>
      </c>
      <c r="E5" s="214" t="s">
        <v>207</v>
      </c>
      <c r="F5" s="203" t="s">
        <v>208</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197</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12A89170-4F84-482D-A3C5-7890082E7B73}" state="hidden" topLeftCell="A5">
      <selection activeCell="D11" sqref="D11"/>
      <pageMargins left="0.75" right="0.62" top="0.65" bottom="1" header="0.5" footer="0.5"/>
      <pageSetup orientation="portrait" r:id="rId1"/>
      <headerFooter alignWithMargins="0"/>
    </customSheetView>
    <customSheetView guid="{D5521983-A70D-48A3-9506-C0263CBBC57D}" state="hidden" topLeftCell="A5">
      <selection activeCell="D11" sqref="D11"/>
      <pageMargins left="0.75" right="0.62" top="0.65" bottom="1" header="0.5" footer="0.5"/>
      <pageSetup orientation="portrait" r:id="rId2"/>
      <headerFooter alignWithMargins="0"/>
    </customSheetView>
    <customSheetView guid="{63D51328-7CBC-4A1E-B96D-BAE91416501B}"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497EA202-A8B8-45C5-9E6C-C3CD104F3979}"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7AB1F867-F01E-4EB9-A93D-DDCFDB9AA444}" state="hidden" topLeftCell="A5">
      <selection activeCell="D11" sqref="D11"/>
      <pageMargins left="0.75" right="0.62" top="0.65" bottom="1" header="0.5" footer="0.5"/>
      <pageSetup orientation="portrait" r:id="rId10"/>
      <headerFooter alignWithMargins="0"/>
    </customSheetView>
  </customSheetViews>
  <mergeCells count="1">
    <mergeCell ref="A2:E2"/>
  </mergeCells>
  <pageMargins left="0.75" right="0.62" top="0.65" bottom="1" header="0.5" footer="0.5"/>
  <pageSetup orientation="portrait" r:id="rId11"/>
  <headerFooter alignWithMargins="0"/>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topLeftCell="A37"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 xml:space="preserve">5002002027/GIS-EXCLUDING/DOM/A04-CC CS-5   </v>
      </c>
      <c r="B1" s="215"/>
      <c r="C1" s="216"/>
      <c r="D1" s="216"/>
      <c r="E1" s="216"/>
      <c r="F1" s="217" t="s">
        <v>209</v>
      </c>
      <c r="Z1" s="220" t="str">
        <f>'[6]Names of Bidder'!D6</f>
        <v>Sole Bidder</v>
      </c>
      <c r="AE1" s="222">
        <v>1</v>
      </c>
      <c r="AF1" s="222" t="s">
        <v>210</v>
      </c>
      <c r="AI1" s="222">
        <v>1</v>
      </c>
      <c r="AJ1" s="221" t="s">
        <v>211</v>
      </c>
    </row>
    <row r="2" spans="1:36">
      <c r="B2" s="218"/>
      <c r="Z2" s="220">
        <f>'[6]Names of Bidder'!AA6</f>
        <v>0</v>
      </c>
      <c r="AE2" s="222">
        <v>2</v>
      </c>
      <c r="AF2" s="222" t="s">
        <v>212</v>
      </c>
      <c r="AI2" s="222">
        <v>2</v>
      </c>
      <c r="AJ2" s="221" t="s">
        <v>213</v>
      </c>
    </row>
    <row r="3" spans="1:36" ht="17.25">
      <c r="A3" s="962" t="s">
        <v>214</v>
      </c>
      <c r="B3" s="962"/>
      <c r="C3" s="962"/>
      <c r="D3" s="962"/>
      <c r="E3" s="962"/>
      <c r="F3" s="962"/>
      <c r="AE3" s="222">
        <v>3</v>
      </c>
      <c r="AF3" s="222" t="s">
        <v>215</v>
      </c>
      <c r="AI3" s="222">
        <v>3</v>
      </c>
      <c r="AJ3" s="221" t="s">
        <v>216</v>
      </c>
    </row>
    <row r="4" spans="1:36">
      <c r="A4" s="223"/>
      <c r="B4" s="223"/>
      <c r="C4" s="223"/>
      <c r="D4" s="223"/>
      <c r="E4" s="223"/>
      <c r="F4" s="223"/>
      <c r="AE4" s="222">
        <v>4</v>
      </c>
      <c r="AF4" s="222" t="s">
        <v>217</v>
      </c>
      <c r="AI4" s="222">
        <v>4</v>
      </c>
      <c r="AJ4" s="221" t="s">
        <v>218</v>
      </c>
    </row>
    <row r="5" spans="1:36">
      <c r="A5" s="224" t="s">
        <v>219</v>
      </c>
      <c r="C5" s="963"/>
      <c r="D5" s="963"/>
      <c r="E5" s="963"/>
      <c r="F5" s="963"/>
      <c r="AE5" s="222">
        <v>5</v>
      </c>
      <c r="AF5" s="222" t="s">
        <v>217</v>
      </c>
      <c r="AI5" s="222">
        <v>5</v>
      </c>
      <c r="AJ5" s="221" t="s">
        <v>220</v>
      </c>
    </row>
    <row r="6" spans="1:36">
      <c r="A6" s="224" t="s">
        <v>221</v>
      </c>
      <c r="B6" s="964" t="str">
        <f>'Names of Bidder'!D27&amp;'Names of Bidder'!E27&amp;'Names of Bidder'!F27</f>
        <v/>
      </c>
      <c r="C6" s="964"/>
      <c r="AE6" s="222">
        <v>6</v>
      </c>
      <c r="AF6" s="222" t="s">
        <v>217</v>
      </c>
      <c r="AG6" s="225" t="e">
        <f>DAY(B6)</f>
        <v>#VALUE!</v>
      </c>
      <c r="AI6" s="222">
        <v>6</v>
      </c>
      <c r="AJ6" s="221" t="s">
        <v>222</v>
      </c>
    </row>
    <row r="7" spans="1:36">
      <c r="A7" s="224"/>
      <c r="B7" s="226"/>
      <c r="C7" s="226"/>
      <c r="AE7" s="222">
        <v>7</v>
      </c>
      <c r="AF7" s="222" t="s">
        <v>217</v>
      </c>
      <c r="AG7" s="225" t="e">
        <f>MONTH(B6)</f>
        <v>#VALUE!</v>
      </c>
      <c r="AI7" s="222">
        <v>7</v>
      </c>
      <c r="AJ7" s="221" t="s">
        <v>223</v>
      </c>
    </row>
    <row r="8" spans="1:36">
      <c r="A8" s="227" t="s">
        <v>1</v>
      </c>
      <c r="B8" s="228"/>
      <c r="F8" s="229"/>
      <c r="AE8" s="222">
        <v>8</v>
      </c>
      <c r="AF8" s="222" t="s">
        <v>217</v>
      </c>
      <c r="AG8" s="225" t="e">
        <f>LOOKUP(AG7,AI1:AI12,AJ1:AJ12)</f>
        <v>#VALUE!</v>
      </c>
      <c r="AI8" s="222">
        <v>8</v>
      </c>
      <c r="AJ8" s="221" t="s">
        <v>224</v>
      </c>
    </row>
    <row r="9" spans="1:36">
      <c r="A9" s="230">
        <f>'Sch-1'!L8</f>
        <v>0</v>
      </c>
      <c r="B9" s="230"/>
      <c r="F9" s="229"/>
      <c r="AE9" s="222">
        <v>9</v>
      </c>
      <c r="AF9" s="222" t="s">
        <v>217</v>
      </c>
      <c r="AG9" s="225" t="e">
        <f>YEAR(B6)</f>
        <v>#VALUE!</v>
      </c>
      <c r="AI9" s="222">
        <v>9</v>
      </c>
      <c r="AJ9" s="221" t="s">
        <v>225</v>
      </c>
    </row>
    <row r="10" spans="1:36">
      <c r="A10" s="230" t="str">
        <f>'Sch-1'!K9</f>
        <v>Power Grid Corporation of India Ltd.,</v>
      </c>
      <c r="B10" s="230"/>
      <c r="F10" s="229"/>
      <c r="AE10" s="222">
        <v>10</v>
      </c>
      <c r="AF10" s="222" t="s">
        <v>217</v>
      </c>
      <c r="AI10" s="222">
        <v>10</v>
      </c>
      <c r="AJ10" s="221" t="s">
        <v>226</v>
      </c>
    </row>
    <row r="11" spans="1:36">
      <c r="A11" s="230" t="str">
        <f>'Sch-1'!K10</f>
        <v>"Saudamini", Plot No.-2</v>
      </c>
      <c r="B11" s="230"/>
      <c r="F11" s="229"/>
      <c r="AE11" s="222">
        <v>11</v>
      </c>
      <c r="AF11" s="222" t="s">
        <v>217</v>
      </c>
      <c r="AI11" s="222">
        <v>11</v>
      </c>
      <c r="AJ11" s="221" t="s">
        <v>227</v>
      </c>
    </row>
    <row r="12" spans="1:36">
      <c r="A12" s="230" t="str">
        <f>'Sch-1'!K11</f>
        <v xml:space="preserve">Sector-29, </v>
      </c>
      <c r="B12" s="230"/>
      <c r="F12" s="229"/>
      <c r="AE12" s="222">
        <v>12</v>
      </c>
      <c r="AF12" s="222" t="s">
        <v>217</v>
      </c>
      <c r="AI12" s="222">
        <v>12</v>
      </c>
      <c r="AJ12" s="221" t="s">
        <v>228</v>
      </c>
    </row>
    <row r="13" spans="1:36">
      <c r="A13" s="230" t="str">
        <f>'Sch-1'!K12</f>
        <v>Gurgaon (Haryana) - 122001</v>
      </c>
      <c r="B13" s="230"/>
      <c r="F13" s="229"/>
      <c r="AE13" s="222">
        <v>13</v>
      </c>
      <c r="AF13" s="222" t="s">
        <v>217</v>
      </c>
    </row>
    <row r="14" spans="1:36" ht="22.5" customHeight="1">
      <c r="A14" s="224"/>
      <c r="F14" s="229"/>
      <c r="AE14" s="222">
        <v>14</v>
      </c>
      <c r="AF14" s="222" t="s">
        <v>217</v>
      </c>
    </row>
    <row r="15" spans="1:36" ht="96.75" customHeight="1">
      <c r="A15" s="601" t="s">
        <v>229</v>
      </c>
      <c r="B15" s="602"/>
      <c r="C15" s="965" t="str">
        <f>Cover!B2</f>
        <v xml:space="preserve">GIS Substation Package SS02 for extension of 400/220kV Kurukshetra GIS Substation associated with Augmentation of transformation capacity at 400/220kV Kurukshetra S/S &amp; Patiala S/S
</v>
      </c>
      <c r="D15" s="965"/>
      <c r="E15" s="965"/>
      <c r="F15" s="965"/>
      <c r="AE15" s="222">
        <v>15</v>
      </c>
      <c r="AF15" s="222" t="s">
        <v>217</v>
      </c>
    </row>
    <row r="16" spans="1:36" ht="27.75" customHeight="1">
      <c r="A16" s="218" t="s">
        <v>230</v>
      </c>
      <c r="B16" s="218"/>
      <c r="C16" s="229"/>
      <c r="D16" s="229"/>
      <c r="E16" s="229"/>
      <c r="F16" s="229"/>
      <c r="AE16" s="222">
        <v>16</v>
      </c>
      <c r="AF16" s="222" t="s">
        <v>217</v>
      </c>
    </row>
    <row r="17" spans="1:41" ht="99.75" customHeight="1">
      <c r="A17" s="232">
        <v>1</v>
      </c>
      <c r="B17" s="96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0"/>
      <c r="D17" s="960"/>
      <c r="E17" s="960"/>
      <c r="F17" s="960"/>
      <c r="H17" s="707" t="s">
        <v>306</v>
      </c>
      <c r="Z17" s="233"/>
      <c r="AA17" s="234"/>
      <c r="AB17" s="235"/>
      <c r="AC17" s="236"/>
      <c r="AE17" s="222">
        <v>17</v>
      </c>
      <c r="AF17" s="222" t="s">
        <v>217</v>
      </c>
    </row>
    <row r="18" spans="1:41" ht="24.75" customHeight="1">
      <c r="A18" s="232"/>
      <c r="B18" s="960"/>
      <c r="C18" s="960"/>
      <c r="D18" s="960"/>
      <c r="E18" s="960"/>
      <c r="F18" s="960"/>
      <c r="H18" s="708">
        <f>ROUND('Sch-6 (After Discount)'!D28,2)</f>
        <v>0</v>
      </c>
      <c r="I18" s="219" t="s">
        <v>475</v>
      </c>
      <c r="Z18" s="233"/>
      <c r="AA18" s="234"/>
      <c r="AB18" s="235"/>
      <c r="AC18" s="236"/>
    </row>
    <row r="19" spans="1:41" ht="21.75" customHeight="1">
      <c r="A19" s="232"/>
      <c r="B19" s="960"/>
      <c r="C19" s="960"/>
      <c r="D19" s="960"/>
      <c r="E19" s="960"/>
      <c r="F19" s="960"/>
      <c r="H19" s="709" t="str">
        <f>'N-W (Cr.)'!P4</f>
        <v/>
      </c>
      <c r="N19" s="219" t="s">
        <v>474</v>
      </c>
      <c r="Z19" s="233"/>
      <c r="AA19" s="234"/>
      <c r="AB19" s="235"/>
      <c r="AC19" s="236"/>
    </row>
    <row r="20" spans="1:41" ht="39" customHeight="1">
      <c r="B20" s="961" t="s">
        <v>231</v>
      </c>
      <c r="C20" s="961"/>
      <c r="D20" s="961"/>
      <c r="E20" s="961"/>
      <c r="F20" s="961"/>
      <c r="H20" s="218" t="s">
        <v>305</v>
      </c>
      <c r="AE20" s="222">
        <v>18</v>
      </c>
      <c r="AF20" s="222" t="s">
        <v>217</v>
      </c>
    </row>
    <row r="21" spans="1:41" s="218" customFormat="1" ht="27.75" customHeight="1">
      <c r="A21" s="237">
        <v>2</v>
      </c>
      <c r="B21" s="959" t="s">
        <v>232</v>
      </c>
      <c r="C21" s="959"/>
      <c r="D21" s="959"/>
      <c r="E21" s="959"/>
      <c r="F21" s="959"/>
      <c r="Z21" s="238"/>
      <c r="AA21" s="238"/>
      <c r="AB21" s="238"/>
      <c r="AC21" s="238"/>
      <c r="AD21" s="239"/>
      <c r="AE21" s="222">
        <v>19</v>
      </c>
      <c r="AF21" s="222" t="s">
        <v>217</v>
      </c>
      <c r="AG21" s="239"/>
      <c r="AH21" s="239"/>
      <c r="AI21" s="239"/>
      <c r="AJ21" s="239"/>
      <c r="AK21" s="239"/>
      <c r="AL21" s="239"/>
      <c r="AM21" s="239"/>
      <c r="AN21" s="239"/>
      <c r="AO21" s="239"/>
    </row>
    <row r="22" spans="1:41" ht="39.75" customHeight="1">
      <c r="A22" s="232">
        <v>2.1</v>
      </c>
      <c r="B22" s="958" t="s">
        <v>233</v>
      </c>
      <c r="C22" s="958"/>
      <c r="D22" s="958"/>
      <c r="E22" s="958"/>
      <c r="F22" s="958"/>
      <c r="AE22" s="222">
        <v>20</v>
      </c>
      <c r="AF22" s="222" t="s">
        <v>217</v>
      </c>
    </row>
    <row r="23" spans="1:41" ht="36.75" customHeight="1">
      <c r="B23" s="957" t="s">
        <v>234</v>
      </c>
      <c r="C23" s="957"/>
      <c r="D23" s="958" t="s">
        <v>235</v>
      </c>
      <c r="E23" s="958"/>
      <c r="F23" s="958"/>
      <c r="AE23" s="222">
        <v>21</v>
      </c>
      <c r="AF23" s="222" t="s">
        <v>210</v>
      </c>
    </row>
    <row r="24" spans="1:41" ht="33" customHeight="1">
      <c r="B24" s="957" t="s">
        <v>236</v>
      </c>
      <c r="C24" s="957"/>
      <c r="D24" s="231" t="s">
        <v>307</v>
      </c>
      <c r="E24" s="231"/>
      <c r="F24" s="231"/>
      <c r="AE24" s="222">
        <v>22</v>
      </c>
      <c r="AF24" s="222" t="s">
        <v>217</v>
      </c>
    </row>
    <row r="25" spans="1:41" ht="27.95" customHeight="1">
      <c r="B25" s="957" t="s">
        <v>237</v>
      </c>
      <c r="C25" s="957"/>
      <c r="D25" s="231" t="s">
        <v>238</v>
      </c>
      <c r="E25" s="231"/>
      <c r="F25" s="231"/>
      <c r="H25" s="240" t="str">
        <f>'[6]Names of Bidder'!D6</f>
        <v>Sole Bidder</v>
      </c>
      <c r="AE25" s="222">
        <v>23</v>
      </c>
      <c r="AF25" s="222" t="s">
        <v>217</v>
      </c>
    </row>
    <row r="26" spans="1:41" ht="27.95" customHeight="1">
      <c r="B26" s="957" t="s">
        <v>239</v>
      </c>
      <c r="C26" s="957"/>
      <c r="D26" s="231" t="s">
        <v>240</v>
      </c>
      <c r="E26" s="231"/>
      <c r="F26" s="231"/>
      <c r="AE26" s="222">
        <v>24</v>
      </c>
      <c r="AF26" s="222" t="s">
        <v>217</v>
      </c>
    </row>
    <row r="27" spans="1:41" ht="27.95" customHeight="1">
      <c r="B27" s="957" t="s">
        <v>241</v>
      </c>
      <c r="C27" s="957"/>
      <c r="D27" s="231" t="s">
        <v>242</v>
      </c>
      <c r="E27" s="231"/>
      <c r="F27" s="231"/>
      <c r="AE27" s="222">
        <v>25</v>
      </c>
      <c r="AF27" s="222" t="s">
        <v>217</v>
      </c>
    </row>
    <row r="28" spans="1:41" ht="27.95" customHeight="1">
      <c r="B28" s="957" t="s">
        <v>243</v>
      </c>
      <c r="C28" s="957"/>
      <c r="D28" s="231" t="s">
        <v>244</v>
      </c>
      <c r="E28" s="231"/>
      <c r="F28" s="231"/>
      <c r="AE28" s="222">
        <v>26</v>
      </c>
      <c r="AF28" s="222" t="s">
        <v>217</v>
      </c>
    </row>
    <row r="29" spans="1:41" ht="27.95" customHeight="1">
      <c r="B29" s="957" t="s">
        <v>30</v>
      </c>
      <c r="C29" s="957"/>
      <c r="D29" s="231" t="s">
        <v>245</v>
      </c>
      <c r="E29" s="231"/>
      <c r="F29" s="231"/>
      <c r="AE29" s="222">
        <v>27</v>
      </c>
      <c r="AF29" s="222" t="s">
        <v>217</v>
      </c>
    </row>
    <row r="30" spans="1:41" ht="98.25" customHeight="1">
      <c r="A30" s="241">
        <v>2.2000000000000002</v>
      </c>
      <c r="B30" s="958" t="s">
        <v>246</v>
      </c>
      <c r="C30" s="958"/>
      <c r="D30" s="958"/>
      <c r="E30" s="958"/>
      <c r="F30" s="958"/>
      <c r="AE30" s="222">
        <v>28</v>
      </c>
      <c r="AF30" s="222" t="s">
        <v>217</v>
      </c>
    </row>
    <row r="31" spans="1:41" ht="68.25" customHeight="1">
      <c r="A31" s="241">
        <v>2.2999999999999998</v>
      </c>
      <c r="B31" s="958" t="s">
        <v>247</v>
      </c>
      <c r="C31" s="958"/>
      <c r="D31" s="958"/>
      <c r="E31" s="958"/>
      <c r="F31" s="958"/>
      <c r="AE31" s="222">
        <v>29</v>
      </c>
      <c r="AF31" s="222" t="s">
        <v>217</v>
      </c>
    </row>
    <row r="32" spans="1:41" ht="129.75" customHeight="1">
      <c r="A32" s="241">
        <v>2.4</v>
      </c>
      <c r="B32" s="958" t="s">
        <v>248</v>
      </c>
      <c r="C32" s="958"/>
      <c r="D32" s="958"/>
      <c r="E32" s="958"/>
      <c r="F32" s="958"/>
      <c r="AE32" s="222">
        <v>30</v>
      </c>
      <c r="AF32" s="222" t="s">
        <v>217</v>
      </c>
    </row>
    <row r="33" spans="1:32" ht="79.5" customHeight="1">
      <c r="A33" s="241">
        <v>2.5</v>
      </c>
      <c r="B33" s="958" t="s">
        <v>249</v>
      </c>
      <c r="C33" s="958"/>
      <c r="D33" s="958"/>
      <c r="E33" s="958"/>
      <c r="F33" s="958"/>
      <c r="AE33" s="222">
        <v>31</v>
      </c>
      <c r="AF33" s="222" t="s">
        <v>210</v>
      </c>
    </row>
    <row r="34" spans="1:32" ht="81" customHeight="1">
      <c r="A34" s="232">
        <v>3</v>
      </c>
      <c r="B34" s="958" t="s">
        <v>250</v>
      </c>
      <c r="C34" s="958"/>
      <c r="D34" s="958"/>
      <c r="E34" s="958"/>
      <c r="F34" s="958"/>
    </row>
    <row r="35" spans="1:32" ht="63" customHeight="1">
      <c r="A35" s="232">
        <v>3.1</v>
      </c>
      <c r="B35" s="969" t="s">
        <v>308</v>
      </c>
      <c r="C35" s="969"/>
      <c r="D35" s="969"/>
      <c r="E35" s="969"/>
      <c r="F35" s="969"/>
    </row>
    <row r="36" spans="1:32" ht="114" customHeight="1">
      <c r="A36" s="241">
        <v>3.2</v>
      </c>
      <c r="B36" s="958" t="s">
        <v>309</v>
      </c>
      <c r="C36" s="958"/>
      <c r="D36" s="958"/>
      <c r="E36" s="958"/>
      <c r="F36" s="958"/>
    </row>
    <row r="37" spans="1:32" ht="65.25" customHeight="1">
      <c r="A37" s="241">
        <v>3.3</v>
      </c>
      <c r="B37" s="958" t="s">
        <v>310</v>
      </c>
      <c r="C37" s="958"/>
      <c r="D37" s="958"/>
      <c r="E37" s="958"/>
      <c r="F37" s="958"/>
    </row>
    <row r="38" spans="1:32" ht="66" customHeight="1">
      <c r="A38" s="232">
        <v>4</v>
      </c>
      <c r="B38" s="958" t="s">
        <v>251</v>
      </c>
      <c r="C38" s="958"/>
      <c r="D38" s="958"/>
      <c r="E38" s="958"/>
      <c r="F38" s="958"/>
    </row>
    <row r="39" spans="1:32" ht="93" customHeight="1">
      <c r="A39" s="232">
        <v>5</v>
      </c>
      <c r="B39" s="958" t="s">
        <v>252</v>
      </c>
      <c r="C39" s="958"/>
      <c r="D39" s="958"/>
      <c r="E39" s="958"/>
      <c r="F39" s="958"/>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181</v>
      </c>
      <c r="C41" s="244"/>
      <c r="D41" s="245"/>
      <c r="E41" s="245"/>
      <c r="F41" s="245"/>
    </row>
    <row r="42" spans="1:32" ht="20.25" customHeight="1">
      <c r="B42" s="246"/>
      <c r="C42" s="245"/>
      <c r="D42" s="245"/>
      <c r="E42" s="242"/>
      <c r="F42" s="247" t="s">
        <v>182</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253</v>
      </c>
      <c r="F44" s="224"/>
    </row>
    <row r="45" spans="1:32" ht="30" customHeight="1">
      <c r="A45" s="250" t="s">
        <v>183</v>
      </c>
      <c r="B45" s="973" t="str">
        <f>Discount!C39</f>
        <v xml:space="preserve">  </v>
      </c>
      <c r="C45" s="964"/>
      <c r="D45" s="219"/>
      <c r="E45" s="249" t="s">
        <v>184</v>
      </c>
      <c r="F45" s="458">
        <f>Discount!F39</f>
        <v>0</v>
      </c>
    </row>
    <row r="46" spans="1:32" ht="30" customHeight="1">
      <c r="A46" s="250" t="s">
        <v>185</v>
      </c>
      <c r="B46" s="966" t="str">
        <f>Discount!C40</f>
        <v/>
      </c>
      <c r="C46" s="964"/>
      <c r="D46" s="219"/>
      <c r="E46" s="249" t="s">
        <v>186</v>
      </c>
      <c r="F46" s="458">
        <f>Discount!F40</f>
        <v>0</v>
      </c>
    </row>
    <row r="47" spans="1:32" ht="30" customHeight="1">
      <c r="B47" s="218"/>
      <c r="D47" s="219"/>
      <c r="E47" s="249" t="s">
        <v>254</v>
      </c>
    </row>
    <row r="48" spans="1:32" ht="30" customHeight="1">
      <c r="A48" s="970" t="str">
        <f>IF(H25="Sole Bidder", "", "In case of bid from a Joint Venture, name &amp; designation of representative of JV partner is to be provided and Bid Form is also to be signed by him.")</f>
        <v/>
      </c>
      <c r="B48" s="970"/>
      <c r="C48" s="970"/>
      <c r="D48" s="970"/>
      <c r="E48" s="970"/>
      <c r="F48" s="970"/>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255</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75" t="s">
        <v>256</v>
      </c>
      <c r="B55" s="975"/>
      <c r="C55" s="975"/>
      <c r="D55" s="967"/>
      <c r="E55" s="968"/>
      <c r="F55" s="968"/>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71"/>
      <c r="B56" s="971"/>
      <c r="C56" s="971"/>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72"/>
      <c r="B57" s="972"/>
      <c r="C57" s="972"/>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74" t="s">
        <v>257</v>
      </c>
      <c r="B58" s="974"/>
      <c r="C58" s="974"/>
      <c r="D58" s="967"/>
      <c r="E58" s="968"/>
      <c r="F58" s="968"/>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74" t="s">
        <v>258</v>
      </c>
      <c r="B59" s="974"/>
      <c r="C59" s="974"/>
      <c r="D59" s="967"/>
      <c r="E59" s="968"/>
      <c r="F59" s="968"/>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74" t="s">
        <v>259</v>
      </c>
      <c r="B60" s="974"/>
      <c r="C60" s="974"/>
      <c r="D60" s="967"/>
      <c r="E60" s="968"/>
      <c r="F60" s="968"/>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75" t="s">
        <v>260</v>
      </c>
      <c r="B61" s="975"/>
      <c r="C61" s="975"/>
      <c r="D61" s="967"/>
      <c r="E61" s="968"/>
      <c r="F61" s="968"/>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71"/>
      <c r="B62" s="971"/>
      <c r="C62" s="971"/>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72"/>
      <c r="B63" s="972"/>
      <c r="C63" s="972"/>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7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77"/>
      <c r="C64" s="977"/>
      <c r="D64" s="977"/>
      <c r="E64" s="977"/>
      <c r="F64" s="977"/>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76" t="s">
        <v>115</v>
      </c>
      <c r="B65" s="976"/>
      <c r="C65" s="976"/>
      <c r="D65" s="976"/>
      <c r="E65" s="976"/>
      <c r="F65" s="976"/>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algorithmName="SHA-512" hashValue="Du73/ZbgusZ/+DJzMN1s61exVehGo08r+x5zHpqpSJvJ+qmV+1M5PSaaVHhI1Q7D05pr2KLsv9Jl1xjpnPzsdA==" saltValue="YQW886TaV3xEzcdtMjvF6A==" spinCount="100000" sheet="1" formatColumns="0" formatRows="0" selectLockedCells="1"/>
  <customSheetViews>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1"/>
  <headerFooter alignWithMargins="0">
    <oddFooter>&amp;R&amp;"Book Antiqua,Bold"&amp;8Bid Form (1st Envelope)  / Page &amp;P of &amp;N</oddFooter>
  </headerFooter>
  <rowBreaks count="1" manualBreakCount="1">
    <brk id="53" max="5" man="1"/>
  </rowBreaks>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B2" sqref="B2:E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77"/>
      <c r="C1" s="778"/>
      <c r="D1" s="778"/>
      <c r="E1" s="779"/>
      <c r="F1" s="37"/>
      <c r="G1" s="38"/>
      <c r="H1" s="39"/>
      <c r="I1" s="39"/>
      <c r="J1" s="40"/>
    </row>
    <row r="2" spans="1:10" ht="57" customHeight="1">
      <c r="A2" s="780" t="s">
        <v>44</v>
      </c>
      <c r="B2" s="783" t="str">
        <f>Basic!B1</f>
        <v xml:space="preserve">GIS Substation Package SS02 for extension of 400/220kV Kurukshetra GIS Substation associated with Augmentation of transformation capacity at 400/220kV Kurukshetra S/S &amp; Patiala S/S
</v>
      </c>
      <c r="C2" s="784"/>
      <c r="D2" s="784"/>
      <c r="E2" s="785"/>
      <c r="F2" s="786" t="str">
        <f>Basic!B3</f>
        <v>SS02</v>
      </c>
      <c r="G2" s="38"/>
      <c r="H2" s="39"/>
      <c r="I2" s="39"/>
      <c r="J2" s="40"/>
    </row>
    <row r="3" spans="1:10" ht="23.25" customHeight="1">
      <c r="A3" s="781"/>
      <c r="B3" s="789" t="str">
        <f>Basic!B5</f>
        <v xml:space="preserve">5002002027/GIS-EXCLUDING/DOM/A04-CC CS-5   </v>
      </c>
      <c r="C3" s="790"/>
      <c r="D3" s="790"/>
      <c r="E3" s="791"/>
      <c r="F3" s="787"/>
      <c r="G3" s="38"/>
      <c r="H3" s="39"/>
      <c r="I3" s="39"/>
      <c r="J3" s="40"/>
    </row>
    <row r="4" spans="1:10" ht="39.950000000000003" customHeight="1">
      <c r="A4" s="781"/>
      <c r="B4" s="42">
        <v>1</v>
      </c>
      <c r="C4" s="792" t="s">
        <v>45</v>
      </c>
      <c r="D4" s="792"/>
      <c r="E4" s="793"/>
      <c r="F4" s="787"/>
      <c r="G4" s="43"/>
      <c r="H4" s="44" t="s">
        <v>46</v>
      </c>
      <c r="I4" s="39"/>
      <c r="J4" s="40"/>
    </row>
    <row r="5" spans="1:10" ht="30" customHeight="1">
      <c r="A5" s="781"/>
      <c r="B5" s="42">
        <v>2</v>
      </c>
      <c r="C5" s="792" t="s">
        <v>47</v>
      </c>
      <c r="D5" s="792"/>
      <c r="E5" s="793"/>
      <c r="F5" s="787"/>
      <c r="G5" s="38"/>
      <c r="H5" s="39"/>
      <c r="I5" s="39"/>
      <c r="J5" s="40"/>
    </row>
    <row r="6" spans="1:10" s="45" customFormat="1" ht="30" customHeight="1">
      <c r="A6" s="781"/>
      <c r="B6" s="42">
        <v>3</v>
      </c>
      <c r="C6" s="792" t="s">
        <v>48</v>
      </c>
      <c r="D6" s="792"/>
      <c r="E6" s="793"/>
      <c r="F6" s="787"/>
      <c r="G6" s="38"/>
      <c r="H6" s="39"/>
      <c r="I6" s="39"/>
      <c r="J6" s="39"/>
    </row>
    <row r="7" spans="1:10" ht="52.5" hidden="1" customHeight="1">
      <c r="A7" s="781"/>
      <c r="B7" s="42">
        <v>4</v>
      </c>
      <c r="C7" s="792" t="s">
        <v>49</v>
      </c>
      <c r="D7" s="792"/>
      <c r="E7" s="793"/>
      <c r="F7" s="787"/>
      <c r="G7" s="38"/>
      <c r="H7" s="39"/>
      <c r="I7" s="39"/>
      <c r="J7" s="40"/>
    </row>
    <row r="8" spans="1:10" ht="9.75" customHeight="1">
      <c r="A8" s="781"/>
      <c r="B8" s="46"/>
      <c r="C8" s="47"/>
      <c r="D8" s="47"/>
      <c r="E8" s="48"/>
      <c r="F8" s="787"/>
      <c r="G8" s="38"/>
      <c r="H8" s="39"/>
      <c r="I8" s="39"/>
      <c r="J8" s="40"/>
    </row>
    <row r="9" spans="1:10" ht="23.25" customHeight="1">
      <c r="A9" s="781"/>
      <c r="B9" s="794"/>
      <c r="C9" s="795"/>
      <c r="D9" s="795"/>
      <c r="E9" s="796"/>
      <c r="F9" s="787"/>
      <c r="G9" s="38"/>
      <c r="H9" s="39"/>
      <c r="I9" s="39"/>
      <c r="J9" s="40"/>
    </row>
    <row r="10" spans="1:10" ht="10.5" customHeight="1">
      <c r="A10" s="781"/>
      <c r="B10" s="49"/>
      <c r="C10" s="50"/>
      <c r="D10" s="50"/>
      <c r="E10" s="51"/>
      <c r="F10" s="787"/>
      <c r="G10" s="38"/>
      <c r="H10" s="39"/>
      <c r="I10" s="39"/>
      <c r="J10" s="40"/>
    </row>
    <row r="11" spans="1:10" ht="24" customHeight="1">
      <c r="A11" s="781"/>
      <c r="B11" s="797" t="s">
        <v>50</v>
      </c>
      <c r="C11" s="798"/>
      <c r="D11" s="798"/>
      <c r="E11" s="52"/>
      <c r="F11" s="787"/>
    </row>
    <row r="12" spans="1:10" ht="15.95" customHeight="1">
      <c r="A12" s="782"/>
      <c r="B12" s="799" t="s">
        <v>51</v>
      </c>
      <c r="C12" s="800"/>
      <c r="D12" s="800"/>
      <c r="E12" s="53"/>
      <c r="F12" s="788"/>
      <c r="G12" s="38"/>
      <c r="H12" s="39"/>
      <c r="I12" s="39"/>
      <c r="J12" s="40"/>
    </row>
    <row r="13" spans="1:10" ht="24" customHeight="1">
      <c r="A13" s="771"/>
      <c r="B13" s="772" t="s">
        <v>52</v>
      </c>
      <c r="C13" s="773"/>
      <c r="D13" s="773"/>
      <c r="E13" s="52"/>
      <c r="F13" s="774"/>
      <c r="G13" s="54"/>
      <c r="H13" s="54"/>
      <c r="I13" s="54"/>
      <c r="J13" s="54"/>
    </row>
    <row r="14" spans="1:10" ht="15.95" customHeight="1">
      <c r="A14" s="771"/>
      <c r="B14" s="775" t="s">
        <v>53</v>
      </c>
      <c r="C14" s="776"/>
      <c r="D14" s="776"/>
      <c r="E14" s="55"/>
      <c r="F14" s="774"/>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oQg4BrFjTGzq313p+95tGsE/gIVdLcb+SOGw4blDncosxiFNqATkrRETm/JyLCWsjWj8cNcF2RGKXRklDSP/MQ==" saltValue="UKXszpNM1HZXUM0vBD4OWA==" spinCount="100000" sheet="1" formatColumns="0" formatRows="0" selectLockedCells="1"/>
  <customSheetViews>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282</v>
      </c>
    </row>
    <row r="2" spans="1:9" ht="15.75">
      <c r="A2" s="337"/>
      <c r="B2" s="338"/>
      <c r="C2" s="339"/>
      <c r="D2" s="340"/>
      <c r="E2" s="341"/>
      <c r="F2" s="385"/>
      <c r="G2" s="385"/>
      <c r="H2" s="321"/>
      <c r="I2" s="342"/>
    </row>
    <row r="3" spans="1:9" ht="16.5">
      <c r="A3" s="310"/>
      <c r="B3" s="311" t="s">
        <v>269</v>
      </c>
      <c r="C3" s="312"/>
      <c r="D3" s="313"/>
      <c r="E3" s="343"/>
      <c r="F3" s="385"/>
      <c r="G3" s="385"/>
      <c r="H3" s="344">
        <f>SUMIF(I1:I2,"Direct",H1:H2)</f>
        <v>0</v>
      </c>
      <c r="I3" s="314"/>
    </row>
    <row r="4" spans="1:9" ht="33">
      <c r="A4" s="310"/>
      <c r="B4" s="311" t="s">
        <v>270</v>
      </c>
      <c r="C4" s="312"/>
      <c r="D4" s="313"/>
      <c r="E4" s="343"/>
      <c r="F4" s="385"/>
      <c r="G4" s="385"/>
      <c r="H4" s="344">
        <f>SUMIF(J1:J2,"Bought-Out",H1:H2)</f>
        <v>0</v>
      </c>
      <c r="I4" s="314"/>
    </row>
    <row r="5" spans="1:9" ht="16.5">
      <c r="A5" s="315"/>
      <c r="B5" s="311" t="s">
        <v>271</v>
      </c>
      <c r="C5" s="316"/>
      <c r="D5" s="317"/>
      <c r="E5" s="318"/>
      <c r="F5" s="318"/>
      <c r="G5" s="318"/>
      <c r="H5" s="345">
        <f>H3+H4</f>
        <v>0</v>
      </c>
      <c r="I5" s="319"/>
    </row>
    <row r="6" spans="1:9" ht="16.5">
      <c r="A6" s="320"/>
      <c r="B6" s="984" t="s">
        <v>272</v>
      </c>
      <c r="C6" s="984"/>
      <c r="D6" s="984"/>
      <c r="E6" s="321"/>
      <c r="F6" s="385"/>
      <c r="G6" s="385"/>
      <c r="H6" s="344" t="e">
        <f>'Sch-7'!#REF!</f>
        <v>#REF!</v>
      </c>
      <c r="I6" s="322"/>
    </row>
    <row r="7" spans="1:9" ht="17.25" thickBot="1">
      <c r="A7" s="323"/>
      <c r="B7" s="985" t="s">
        <v>273</v>
      </c>
      <c r="C7" s="985"/>
      <c r="D7" s="985"/>
      <c r="E7" s="324"/>
      <c r="F7" s="324"/>
      <c r="G7" s="324"/>
      <c r="H7" s="346" t="e">
        <f>H5+H6</f>
        <v>#REF!</v>
      </c>
      <c r="I7" s="325"/>
    </row>
    <row r="8" spans="1:9" ht="16.5">
      <c r="A8" s="986"/>
      <c r="B8" s="986"/>
      <c r="C8" s="986"/>
      <c r="D8" s="986"/>
      <c r="E8" s="986"/>
      <c r="F8" s="986"/>
      <c r="G8" s="986"/>
    </row>
    <row r="9" spans="1:9" ht="15.75">
      <c r="A9" s="4"/>
      <c r="B9" s="983"/>
      <c r="C9" s="983"/>
      <c r="D9" s="983"/>
      <c r="E9" s="983"/>
      <c r="F9" s="983"/>
      <c r="G9" s="983"/>
    </row>
    <row r="10" spans="1:9" ht="16.5">
      <c r="A10" s="326"/>
      <c r="B10" s="326"/>
      <c r="C10" s="326"/>
      <c r="D10" s="326"/>
      <c r="E10" s="326"/>
      <c r="F10" s="326"/>
      <c r="G10" s="326"/>
    </row>
    <row r="11" spans="1:9" ht="90" customHeight="1">
      <c r="A11" s="327" t="s">
        <v>274</v>
      </c>
      <c r="B11" s="987" t="s">
        <v>275</v>
      </c>
      <c r="C11" s="987"/>
      <c r="D11" s="987"/>
      <c r="E11" s="987"/>
      <c r="F11" s="987"/>
      <c r="G11" s="987"/>
      <c r="H11" s="987"/>
      <c r="I11" s="987"/>
    </row>
    <row r="12" spans="1:9" ht="116.25" customHeight="1">
      <c r="A12" s="328" t="s">
        <v>276</v>
      </c>
      <c r="B12" s="979" t="s">
        <v>277</v>
      </c>
      <c r="C12" s="979"/>
      <c r="D12" s="979"/>
      <c r="E12" s="979"/>
      <c r="F12" s="979"/>
      <c r="G12" s="979"/>
      <c r="H12" s="979"/>
      <c r="I12" s="979"/>
    </row>
    <row r="13" spans="1:9" ht="15.75">
      <c r="A13" s="328"/>
      <c r="B13" s="979"/>
      <c r="C13" s="979"/>
      <c r="D13" s="979"/>
      <c r="E13" s="979"/>
      <c r="F13" s="979"/>
      <c r="G13" s="979"/>
    </row>
    <row r="14" spans="1:9" ht="16.5">
      <c r="A14" s="329" t="s">
        <v>162</v>
      </c>
      <c r="B14" s="330" t="str">
        <f>'Names of Bidder'!D$27&amp;"-"&amp; 'Names of Bidder'!E$27&amp;"-" &amp;'Names of Bidder'!F$27</f>
        <v>--</v>
      </c>
      <c r="C14" s="331"/>
      <c r="D14" s="332"/>
      <c r="E14" s="3"/>
      <c r="F14" s="3"/>
      <c r="G14" s="333"/>
    </row>
    <row r="15" spans="1:9" ht="16.5">
      <c r="A15" s="329" t="s">
        <v>163</v>
      </c>
      <c r="B15" s="330" t="str">
        <f>IF('Names of Bidder'!D$28=0, "", 'Names of Bidder'!D$28)</f>
        <v/>
      </c>
      <c r="C15" s="3"/>
      <c r="D15" s="332" t="s">
        <v>144</v>
      </c>
      <c r="E15" s="333" t="str">
        <f>IF('Names of Bidder'!D$24=0, "", 'Names of Bidder'!D$24)</f>
        <v/>
      </c>
      <c r="F15" s="3"/>
      <c r="G15" s="330" t="str">
        <f>'[6]Names of Bidder'!I14&amp;"-"&amp; '[6]Names of Bidder'!J14&amp;"-" &amp;'[6]Names of Bidder'!K14</f>
        <v>--</v>
      </c>
    </row>
    <row r="16" spans="1:9" ht="16.5">
      <c r="A16" s="334"/>
      <c r="B16" s="335"/>
      <c r="C16" s="336"/>
      <c r="D16" s="332" t="s">
        <v>146</v>
      </c>
      <c r="E16" s="333" t="str">
        <f>IF('Names of Bidder'!D$25=0, "", 'Names of Bidder'!D$25)</f>
        <v/>
      </c>
      <c r="F16" s="336"/>
      <c r="G16" s="336"/>
    </row>
    <row r="18" spans="1:11">
      <c r="A18" t="s">
        <v>283</v>
      </c>
    </row>
    <row r="20" spans="1:11" ht="17.25" thickBot="1">
      <c r="A20" s="347"/>
      <c r="B20" s="348" t="s">
        <v>284</v>
      </c>
      <c r="C20" s="349"/>
      <c r="D20" s="348"/>
      <c r="E20" s="324"/>
      <c r="F20" s="324"/>
      <c r="G20" s="324"/>
      <c r="H20" s="350" t="s">
        <v>298</v>
      </c>
    </row>
    <row r="21" spans="1:11" ht="16.5" thickBot="1">
      <c r="A21" s="351"/>
      <c r="B21" s="980"/>
      <c r="C21" s="980"/>
      <c r="D21" s="980"/>
      <c r="E21" s="980"/>
      <c r="F21" s="980"/>
    </row>
    <row r="22" spans="1:11" ht="15.75">
      <c r="A22" s="352"/>
      <c r="B22" s="981"/>
      <c r="C22" s="981"/>
      <c r="D22" s="981"/>
      <c r="E22" s="981"/>
      <c r="F22" s="981"/>
    </row>
    <row r="23" spans="1:11" ht="16.5">
      <c r="A23" s="329" t="s">
        <v>162</v>
      </c>
      <c r="B23" s="330" t="s">
        <v>263</v>
      </c>
      <c r="C23" s="353"/>
      <c r="D23" s="332"/>
      <c r="E23" s="3"/>
      <c r="F23" s="3"/>
    </row>
    <row r="24" spans="1:11" ht="16.5">
      <c r="A24" s="329" t="s">
        <v>163</v>
      </c>
      <c r="B24" s="330" t="s">
        <v>264</v>
      </c>
      <c r="C24" s="4"/>
      <c r="D24" s="332" t="s">
        <v>144</v>
      </c>
      <c r="E24" s="333" t="s">
        <v>285</v>
      </c>
      <c r="F24" s="3"/>
    </row>
    <row r="25" spans="1:11" ht="16.5">
      <c r="A25" s="334"/>
      <c r="B25" s="335"/>
      <c r="C25" s="334"/>
      <c r="D25" s="332" t="s">
        <v>146</v>
      </c>
      <c r="E25" s="333" t="s">
        <v>286</v>
      </c>
      <c r="F25" s="336"/>
    </row>
    <row r="27" spans="1:11">
      <c r="A27" t="s">
        <v>287</v>
      </c>
    </row>
    <row r="29" spans="1:11" ht="16.5">
      <c r="A29" s="354"/>
      <c r="B29" s="355" t="s">
        <v>288</v>
      </c>
      <c r="C29" s="355"/>
      <c r="D29" s="355"/>
      <c r="E29" s="356"/>
      <c r="F29" s="356"/>
      <c r="G29" s="356"/>
      <c r="H29" s="356"/>
      <c r="I29" s="356"/>
      <c r="J29" s="356"/>
      <c r="K29" s="357" t="e">
        <f>SUM(#REF!)</f>
        <v>#REF!</v>
      </c>
    </row>
    <row r="30" spans="1:11" ht="15.75">
      <c r="A30" s="352"/>
      <c r="B30" s="982"/>
      <c r="C30" s="983"/>
      <c r="D30" s="983"/>
      <c r="E30" s="983"/>
      <c r="F30" s="983"/>
      <c r="G30" s="983"/>
    </row>
    <row r="31" spans="1:11" ht="16.5">
      <c r="A31" s="358" t="s">
        <v>162</v>
      </c>
      <c r="B31" s="359" t="s">
        <v>263</v>
      </c>
      <c r="C31" s="360"/>
      <c r="D31" s="361"/>
      <c r="E31" s="362"/>
      <c r="F31" s="362"/>
      <c r="G31" s="7"/>
    </row>
    <row r="32" spans="1:11" ht="16.5">
      <c r="A32" s="358" t="s">
        <v>163</v>
      </c>
      <c r="B32" s="359" t="s">
        <v>264</v>
      </c>
      <c r="C32" s="362"/>
      <c r="D32" s="361" t="s">
        <v>144</v>
      </c>
      <c r="E32" s="363" t="s">
        <v>285</v>
      </c>
      <c r="F32" s="362"/>
      <c r="G32" s="7"/>
    </row>
    <row r="33" spans="1:8" ht="16.5">
      <c r="A33" s="364"/>
      <c r="B33" s="365"/>
      <c r="C33" s="366"/>
      <c r="D33" s="361" t="s">
        <v>146</v>
      </c>
      <c r="E33" s="363" t="s">
        <v>286</v>
      </c>
      <c r="F33" s="366"/>
      <c r="G33" s="7"/>
    </row>
    <row r="35" spans="1:8">
      <c r="A35" t="s">
        <v>291</v>
      </c>
    </row>
    <row r="37" spans="1:8" ht="30">
      <c r="A37" s="367" t="s">
        <v>162</v>
      </c>
      <c r="B37" s="368" t="s">
        <v>261</v>
      </c>
      <c r="C37" s="369"/>
      <c r="D37" s="918" t="s">
        <v>289</v>
      </c>
      <c r="E37" s="918"/>
      <c r="F37" s="978"/>
    </row>
    <row r="38" spans="1:8" ht="30">
      <c r="A38" s="367" t="s">
        <v>163</v>
      </c>
      <c r="B38" s="368" t="s">
        <v>262</v>
      </c>
      <c r="C38" s="24"/>
      <c r="D38" s="918" t="s">
        <v>290</v>
      </c>
      <c r="E38" s="918"/>
      <c r="F38" s="978"/>
    </row>
    <row r="40" spans="1:8">
      <c r="A40" t="s">
        <v>292</v>
      </c>
    </row>
    <row r="42" spans="1:8" ht="30">
      <c r="A42" s="370"/>
      <c r="B42" s="371" t="s">
        <v>293</v>
      </c>
      <c r="C42" s="371"/>
      <c r="D42" s="371"/>
      <c r="E42" s="371"/>
      <c r="F42" s="371"/>
      <c r="G42" s="371"/>
      <c r="H42" s="372" t="s">
        <v>299</v>
      </c>
    </row>
    <row r="43" spans="1:8" ht="16.5">
      <c r="A43" s="373"/>
      <c r="B43" s="374"/>
      <c r="C43" s="374"/>
      <c r="D43" s="374"/>
      <c r="E43" s="374"/>
      <c r="F43" s="374"/>
      <c r="G43" s="375"/>
    </row>
    <row r="44" spans="1:8">
      <c r="A44" s="374"/>
      <c r="B44" s="374"/>
      <c r="C44" s="374"/>
      <c r="D44" s="374"/>
      <c r="E44" s="374"/>
      <c r="F44" s="374"/>
      <c r="G44" s="376"/>
    </row>
    <row r="45" spans="1:8">
      <c r="A45" s="917"/>
      <c r="B45" s="917"/>
      <c r="C45" s="917"/>
      <c r="D45" s="917"/>
      <c r="E45" s="917"/>
      <c r="F45" s="917"/>
      <c r="G45" s="917"/>
    </row>
    <row r="46" spans="1:8">
      <c r="A46" s="377"/>
      <c r="B46" s="377"/>
      <c r="C46" s="918"/>
      <c r="D46" s="918"/>
      <c r="E46" s="918"/>
      <c r="F46" s="918"/>
      <c r="G46" s="918"/>
    </row>
    <row r="47" spans="1:8">
      <c r="A47" s="378" t="s">
        <v>162</v>
      </c>
      <c r="B47" s="379" t="s">
        <v>263</v>
      </c>
      <c r="C47" s="918" t="s">
        <v>294</v>
      </c>
      <c r="D47" s="918"/>
      <c r="E47" s="918"/>
      <c r="F47" s="918"/>
      <c r="G47" s="918"/>
    </row>
    <row r="48" spans="1:8">
      <c r="A48" s="378" t="s">
        <v>163</v>
      </c>
      <c r="B48" s="380" t="s">
        <v>264</v>
      </c>
      <c r="C48" s="918" t="s">
        <v>295</v>
      </c>
      <c r="D48" s="918"/>
      <c r="E48" s="918"/>
      <c r="F48" s="918"/>
      <c r="G48" s="918"/>
    </row>
    <row r="49" spans="1:7" ht="16.5">
      <c r="A49" s="23"/>
      <c r="B49" s="22"/>
      <c r="C49" s="918"/>
      <c r="D49" s="918"/>
      <c r="E49" s="918"/>
      <c r="F49" s="918"/>
      <c r="G49" s="918"/>
    </row>
    <row r="50" spans="1:7" ht="16.5">
      <c r="A50" s="23"/>
      <c r="B50" s="22"/>
      <c r="C50" s="381"/>
      <c r="D50" s="381"/>
      <c r="E50" s="381"/>
      <c r="F50" s="381"/>
      <c r="G50" s="381"/>
    </row>
    <row r="51" spans="1:7" ht="16.5">
      <c r="A51" s="382" t="s">
        <v>296</v>
      </c>
      <c r="B51" s="919" t="s">
        <v>297</v>
      </c>
      <c r="C51" s="919"/>
      <c r="D51" s="919"/>
      <c r="E51" s="919"/>
      <c r="F51" s="919"/>
      <c r="G51" s="383"/>
    </row>
    <row r="52" spans="1:7" ht="16.5">
      <c r="A52" s="384"/>
      <c r="B52" s="26"/>
      <c r="C52" s="26"/>
      <c r="D52" s="26"/>
      <c r="E52" s="26"/>
      <c r="F52" s="26"/>
      <c r="G52" s="26"/>
    </row>
    <row r="60" spans="1:7">
      <c r="B60" t="s">
        <v>265</v>
      </c>
    </row>
    <row r="61" spans="1:7">
      <c r="B61" t="s">
        <v>266</v>
      </c>
    </row>
  </sheetData>
  <customSheetViews>
    <customSheetView guid="{12A89170-4F84-482D-A3C5-7890082E7B73}"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12A89170-4F84-482D-A3C5-7890082E7B73}" state="hidden">
      <pageMargins left="0.7" right="0.7" top="0.75" bottom="0.75" header="0.3" footer="0.3"/>
    </customSheetView>
    <customSheetView guid="{D5521983-A70D-48A3-9506-C0263CBBC57D}" state="hidden">
      <pageMargins left="0.7" right="0.7" top="0.75" bottom="0.75" header="0.3" footer="0.3"/>
    </customSheetView>
    <customSheetView guid="{63D51328-7CBC-4A1E-B96D-BAE91416501B}" state="hidden">
      <pageMargins left="0.7" right="0.7" top="0.75" bottom="0.75" header="0.3" footer="0.3"/>
    </customSheetView>
    <customSheetView guid="{CCA37BAE-906F-43D5-9FD9-B13563E4B9D7}" state="hidden">
      <pageMargins left="0.7" right="0.7" top="0.75" bottom="0.75" header="0.3" footer="0.3"/>
    </customSheetView>
    <customSheetView guid="{497EA202-A8B8-45C5-9E6C-C3CD104F3979}"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7AB1F867-F01E-4EB9-A93D-DDCFDB9AA444}"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94" hidden="1" customWidth="1"/>
    <col min="2" max="2" width="13.28515625" style="694" hidden="1" customWidth="1"/>
    <col min="3" max="3" width="0" style="694" hidden="1" customWidth="1"/>
    <col min="4" max="4" width="10.28515625" style="694" hidden="1" customWidth="1"/>
    <col min="5" max="5" width="3.42578125" style="694" hidden="1" customWidth="1"/>
    <col min="6" max="6" width="5.5703125" style="694" hidden="1" customWidth="1"/>
    <col min="7" max="7" width="11.42578125" style="694" hidden="1" customWidth="1"/>
    <col min="8" max="8" width="0" style="694" hidden="1" customWidth="1"/>
    <col min="9" max="9" width="10" style="694" hidden="1" customWidth="1"/>
    <col min="10" max="10" width="3.28515625" style="694" hidden="1" customWidth="1"/>
    <col min="11" max="11" width="5" style="694" hidden="1" customWidth="1"/>
    <col min="12" max="12" width="11.28515625" style="694" hidden="1" customWidth="1"/>
    <col min="13" max="13" width="0" style="694" hidden="1" customWidth="1"/>
    <col min="14" max="14" width="10.28515625" style="694" hidden="1" customWidth="1"/>
    <col min="15" max="15" width="3.7109375" style="694" hidden="1" customWidth="1"/>
    <col min="16" max="16" width="6.42578125" style="694" customWidth="1"/>
    <col min="17" max="17" width="14.85546875" style="694" customWidth="1"/>
    <col min="18" max="18" width="9.140625" style="694" customWidth="1"/>
    <col min="19" max="19" width="12" style="694" customWidth="1"/>
    <col min="20" max="20" width="3.28515625" style="694" hidden="1" customWidth="1"/>
    <col min="21" max="21" width="6.140625" style="694" hidden="1" customWidth="1"/>
    <col min="22" max="22" width="8.5703125" style="694" hidden="1" customWidth="1"/>
    <col min="23" max="23" width="8.42578125" style="694" hidden="1" customWidth="1"/>
    <col min="24" max="24" width="8.85546875" style="694" hidden="1" customWidth="1"/>
    <col min="25" max="116" width="0" style="694" hidden="1" customWidth="1"/>
    <col min="117" max="16384" width="9.140625" style="694"/>
  </cols>
  <sheetData>
    <row r="1" spans="1:27" ht="13.5" thickBot="1">
      <c r="A1" s="988" t="e">
        <v>#REF!</v>
      </c>
      <c r="B1" s="989"/>
      <c r="C1" s="674"/>
      <c r="D1" s="675"/>
      <c r="E1" s="699"/>
      <c r="F1" s="988">
        <v>0</v>
      </c>
      <c r="G1" s="989"/>
      <c r="H1" s="674"/>
      <c r="I1" s="675"/>
      <c r="K1" s="988" t="e">
        <v>#REF!</v>
      </c>
      <c r="L1" s="989"/>
      <c r="M1" s="674"/>
      <c r="N1" s="675"/>
      <c r="P1" s="988">
        <f>'Sch-6 (After Discount)'!D28</f>
        <v>0</v>
      </c>
      <c r="Q1" s="989"/>
      <c r="R1" s="674"/>
      <c r="S1" s="675"/>
      <c r="U1" s="698" t="e">
        <v>#REF!</v>
      </c>
    </row>
    <row r="2" spans="1:27">
      <c r="A2" s="990"/>
      <c r="B2" s="991"/>
      <c r="C2" s="674"/>
      <c r="D2" s="675"/>
      <c r="E2" s="699"/>
      <c r="F2" s="676"/>
      <c r="G2" s="674"/>
      <c r="H2" s="674"/>
      <c r="I2" s="675"/>
      <c r="K2" s="676"/>
      <c r="L2" s="674"/>
      <c r="M2" s="674"/>
      <c r="N2" s="675"/>
      <c r="P2" s="676"/>
      <c r="Q2" s="674"/>
      <c r="R2" s="674"/>
      <c r="S2" s="675"/>
      <c r="U2" s="698" t="e">
        <v>#REF!</v>
      </c>
    </row>
    <row r="3" spans="1:27">
      <c r="A3" s="676"/>
      <c r="B3" s="677"/>
      <c r="C3" s="677"/>
      <c r="D3" s="678"/>
      <c r="E3" s="700"/>
      <c r="F3" s="676"/>
      <c r="G3" s="677"/>
      <c r="H3" s="677"/>
      <c r="I3" s="678"/>
      <c r="K3" s="676"/>
      <c r="L3" s="677"/>
      <c r="M3" s="677"/>
      <c r="N3" s="678"/>
      <c r="P3" s="676"/>
      <c r="Q3" s="677"/>
      <c r="R3" s="677"/>
      <c r="S3" s="678"/>
      <c r="U3" s="698" t="s">
        <v>468</v>
      </c>
    </row>
    <row r="4" spans="1:27" ht="66.75" customHeight="1" thickBot="1">
      <c r="A4" s="998" t="e">
        <f>IF(OR((A1&gt;9999999999),(A1&lt;0)),"Invalid Entry - More than 1000 crore OR -ve value",IF(A1=0, "",+CONCATENATE(#REF!,B11,D11,B10,D10,B9,D9,B8,D8,B7,D7,B6," Only")))</f>
        <v>#REF!</v>
      </c>
      <c r="B4" s="999"/>
      <c r="C4" s="999"/>
      <c r="D4" s="1000"/>
      <c r="E4" s="701"/>
      <c r="F4" s="998" t="str">
        <f>IF(OR((F1&gt;9999999999),(F1&lt;0)),"Invalid Entry - More than 1000 crore OR -ve value",IF(F1=0, "",+CONCATENATE(U1, G11,I11,G10,I10,G9,I9,G8,I8,G7,I7,G6," Only")))</f>
        <v/>
      </c>
      <c r="G4" s="999"/>
      <c r="H4" s="999"/>
      <c r="I4" s="1000"/>
      <c r="J4" s="701"/>
      <c r="K4" s="998" t="e">
        <f>IF(OR((K1&gt;9999999999),(K1&lt;0)),"Invalid Entry - More than 1000 crore OR -ve value",IF(K1=0, "",+CONCATENATE(U2, L11,N11,L10,N10,L9,N9,L8,N8,L7,N7,L6," Only")))</f>
        <v>#REF!</v>
      </c>
      <c r="L4" s="999"/>
      <c r="M4" s="999"/>
      <c r="N4" s="1000"/>
      <c r="P4" s="998" t="str">
        <f>IF(OR((P1&gt;9999999999),(P1&lt;0)),"Invalid Entry - More than 1000 crore OR -ve value",IF(P1=0, "",+CONCATENATE(U3, Q11,S11,Q10,S10,Q9,S9,Q8,S8,Q7,S7,Q6," Only")))</f>
        <v/>
      </c>
      <c r="Q4" s="999"/>
      <c r="R4" s="999"/>
      <c r="S4" s="1000"/>
      <c r="U4" s="992" t="e">
        <f>VLOOKUP(1,T28:Y43,6,FALSE)</f>
        <v>#N/A</v>
      </c>
      <c r="V4" s="992"/>
      <c r="W4" s="992"/>
      <c r="X4" s="992"/>
      <c r="Y4" s="992"/>
      <c r="Z4" s="992"/>
      <c r="AA4" s="992"/>
    </row>
    <row r="5" spans="1:27" ht="18.75" customHeight="1" thickBot="1">
      <c r="A5" s="676"/>
      <c r="B5" s="677"/>
      <c r="C5" s="677"/>
      <c r="D5" s="678"/>
      <c r="E5" s="700"/>
      <c r="F5" s="676"/>
      <c r="G5" s="677"/>
      <c r="H5" s="677"/>
      <c r="I5" s="678"/>
      <c r="K5" s="676"/>
      <c r="L5" s="677"/>
      <c r="M5" s="677"/>
      <c r="N5" s="678"/>
      <c r="P5" s="676"/>
      <c r="Q5" s="677"/>
      <c r="R5" s="677"/>
      <c r="S5" s="678"/>
      <c r="U5" s="993" t="e">
        <f>VLOOKUP(1,T8:Y23,6,FALSE)</f>
        <v>#N/A</v>
      </c>
      <c r="V5" s="994"/>
      <c r="W5" s="994"/>
      <c r="X5" s="994"/>
      <c r="Y5" s="994"/>
      <c r="Z5" s="994"/>
      <c r="AA5" s="995"/>
    </row>
    <row r="6" spans="1:27">
      <c r="A6" s="679" t="e">
        <f>-INT(A1/100)*100+ROUND(A1,0)</f>
        <v>#REF!</v>
      </c>
      <c r="B6" s="677" t="e">
        <f t="shared" ref="B6:B11" si="0">IF(A6=0,"",LOOKUP(A6,$A$13:$A$112,$B$13:$B$112))</f>
        <v>#REF!</v>
      </c>
      <c r="C6" s="677"/>
      <c r="D6" s="680"/>
      <c r="E6" s="700"/>
      <c r="F6" s="679">
        <f>-INT(F1/100)*100+ROUND(F1,0)</f>
        <v>0</v>
      </c>
      <c r="G6" s="677" t="str">
        <f t="shared" ref="G6:G11" si="1">IF(F6=0,"",LOOKUP(F6,$A$13:$A$112,$B$13:$B$112))</f>
        <v/>
      </c>
      <c r="H6" s="677"/>
      <c r="I6" s="680"/>
      <c r="K6" s="679" t="e">
        <f>-INT(K1/100)*100+ROUND(K1,0)</f>
        <v>#REF!</v>
      </c>
      <c r="L6" s="677" t="e">
        <f t="shared" ref="L6:L11" si="2">IF(K6=0,"",LOOKUP(K6,$A$13:$A$112,$B$13:$B$112))</f>
        <v>#REF!</v>
      </c>
      <c r="M6" s="677"/>
      <c r="N6" s="680"/>
      <c r="P6" s="679">
        <f>-INT(P1/100)*100+ROUND(P1,0)</f>
        <v>0</v>
      </c>
      <c r="Q6" s="677" t="str">
        <f t="shared" ref="Q6:Q11" si="3">IF(P6=0,"",LOOKUP(P6,$A$13:$A$112,$B$13:$B$112))</f>
        <v/>
      </c>
      <c r="R6" s="677"/>
      <c r="S6" s="680"/>
    </row>
    <row r="7" spans="1:27">
      <c r="A7" s="679" t="e">
        <f>-INT(A1/1000)*10+INT(A1/100)</f>
        <v>#REF!</v>
      </c>
      <c r="B7" s="677" t="e">
        <f t="shared" si="0"/>
        <v>#REF!</v>
      </c>
      <c r="C7" s="677"/>
      <c r="D7" s="680" t="e">
        <f>+IF(B7="",""," Hundred ")</f>
        <v>#REF!</v>
      </c>
      <c r="E7" s="700"/>
      <c r="F7" s="679">
        <f>-INT(F1/1000)*10+INT(F1/100)</f>
        <v>0</v>
      </c>
      <c r="G7" s="677" t="str">
        <f t="shared" si="1"/>
        <v/>
      </c>
      <c r="H7" s="677"/>
      <c r="I7" s="680" t="str">
        <f>+IF(G7="",""," Hundred ")</f>
        <v/>
      </c>
      <c r="K7" s="679" t="e">
        <f>-INT(K1/1000)*10+INT(K1/100)</f>
        <v>#REF!</v>
      </c>
      <c r="L7" s="677" t="e">
        <f t="shared" si="2"/>
        <v>#REF!</v>
      </c>
      <c r="M7" s="677"/>
      <c r="N7" s="680" t="e">
        <f>+IF(L7="",""," Hundred ")</f>
        <v>#REF!</v>
      </c>
      <c r="P7" s="679">
        <f>-INT(P1/1000)*10+INT(P1/100)</f>
        <v>0</v>
      </c>
      <c r="Q7" s="677" t="str">
        <f t="shared" si="3"/>
        <v/>
      </c>
      <c r="R7" s="677"/>
      <c r="S7" s="680" t="str">
        <f>+IF(Q7="",""," Hundred ")</f>
        <v/>
      </c>
    </row>
    <row r="8" spans="1:27">
      <c r="A8" s="679" t="e">
        <f>-INT(A1/100000)*100+INT(A1/1000)</f>
        <v>#REF!</v>
      </c>
      <c r="B8" s="677" t="e">
        <f t="shared" si="0"/>
        <v>#REF!</v>
      </c>
      <c r="C8" s="677"/>
      <c r="D8" s="680" t="e">
        <f>IF((B8=""),IF(C8="",""," Thousand ")," Thousand ")</f>
        <v>#REF!</v>
      </c>
      <c r="E8" s="700"/>
      <c r="F8" s="679">
        <f>-INT(F1/100000)*100+INT(F1/1000)</f>
        <v>0</v>
      </c>
      <c r="G8" s="677" t="str">
        <f t="shared" si="1"/>
        <v/>
      </c>
      <c r="H8" s="677"/>
      <c r="I8" s="680" t="str">
        <f>IF((G8=""),IF(H8="",""," Thousand ")," Thousand ")</f>
        <v/>
      </c>
      <c r="K8" s="679" t="e">
        <f>-INT(K1/100000)*100+INT(K1/1000)</f>
        <v>#REF!</v>
      </c>
      <c r="L8" s="677" t="e">
        <f t="shared" si="2"/>
        <v>#REF!</v>
      </c>
      <c r="M8" s="677"/>
      <c r="N8" s="680" t="e">
        <f>IF((L8=""),IF(M8="",""," Thousand ")," Thousand ")</f>
        <v>#REF!</v>
      </c>
      <c r="P8" s="679">
        <f>-INT(P1/100000)*100+INT(P1/1000)</f>
        <v>0</v>
      </c>
      <c r="Q8" s="677" t="str">
        <f t="shared" si="3"/>
        <v/>
      </c>
      <c r="R8" s="677"/>
      <c r="S8" s="680" t="str">
        <f>IF((Q8=""),IF(R8="",""," Thousand ")," Thousand ")</f>
        <v/>
      </c>
      <c r="T8" s="702" t="e">
        <f>IF(Y8="",0, 1)</f>
        <v>#REF!</v>
      </c>
      <c r="U8" s="694">
        <v>0</v>
      </c>
      <c r="V8" s="694">
        <v>0</v>
      </c>
      <c r="W8" s="694">
        <v>0</v>
      </c>
      <c r="X8" s="694">
        <v>0</v>
      </c>
      <c r="Y8" s="703" t="e">
        <f>IF(AND($A$1=0,$F$1=0,$K$1=0,$P$1=0)," Zero only", "")</f>
        <v>#REF!</v>
      </c>
      <c r="AA8" s="694" t="s">
        <v>469</v>
      </c>
    </row>
    <row r="9" spans="1:27">
      <c r="A9" s="679" t="e">
        <f>-INT(A1/10000000)*100+INT(A1/100000)</f>
        <v>#REF!</v>
      </c>
      <c r="B9" s="677" t="e">
        <f t="shared" si="0"/>
        <v>#REF!</v>
      </c>
      <c r="C9" s="677"/>
      <c r="D9" s="680" t="e">
        <f>IF((B9=""),IF(C9="",""," Lac ")," Lac ")</f>
        <v>#REF!</v>
      </c>
      <c r="E9" s="700"/>
      <c r="F9" s="679">
        <f>-INT(F1/10000000)*100+INT(F1/100000)</f>
        <v>0</v>
      </c>
      <c r="G9" s="677" t="str">
        <f t="shared" si="1"/>
        <v/>
      </c>
      <c r="H9" s="677"/>
      <c r="I9" s="680" t="str">
        <f>IF((G9=""),IF(H9="",""," Lac ")," Lac ")</f>
        <v/>
      </c>
      <c r="K9" s="679" t="e">
        <f>-INT(K1/10000000)*100+INT(K1/100000)</f>
        <v>#REF!</v>
      </c>
      <c r="L9" s="677" t="e">
        <f t="shared" si="2"/>
        <v>#REF!</v>
      </c>
      <c r="M9" s="677"/>
      <c r="N9" s="680" t="e">
        <f>IF((L9=""),IF(M9="",""," Lac ")," Lac ")</f>
        <v>#REF!</v>
      </c>
      <c r="P9" s="679">
        <f>-INT(P1/10000000)*100+INT(P1/100000)</f>
        <v>0</v>
      </c>
      <c r="Q9" s="677" t="str">
        <f t="shared" si="3"/>
        <v/>
      </c>
      <c r="R9" s="677"/>
      <c r="S9" s="680" t="str">
        <f>IF((Q9=""),IF(R9="",""," Lac ")," Lac ")</f>
        <v/>
      </c>
      <c r="T9" s="702" t="e">
        <f t="shared" ref="T9:T23" si="4">IF(Y9="",0, 1)</f>
        <v>#REF!</v>
      </c>
      <c r="U9" s="694">
        <v>0</v>
      </c>
      <c r="V9" s="694">
        <v>0</v>
      </c>
      <c r="W9" s="694">
        <v>0</v>
      </c>
      <c r="X9" s="694">
        <v>1</v>
      </c>
      <c r="Y9" s="704" t="e">
        <f>IF(AND($A$1=0,$F$1=0,$K$1=0,$P$1&gt;0),$P$4, "")</f>
        <v>#REF!</v>
      </c>
    </row>
    <row r="10" spans="1:27">
      <c r="A10" s="679" t="e">
        <f>-INT(A1/1000000000)*100+INT(A1/10000000)</f>
        <v>#REF!</v>
      </c>
      <c r="B10" s="681" t="e">
        <f t="shared" si="0"/>
        <v>#REF!</v>
      </c>
      <c r="C10" s="677"/>
      <c r="D10" s="680" t="e">
        <f>IF((B10=""),IF(C10="",""," Crore ")," Crore ")</f>
        <v>#REF!</v>
      </c>
      <c r="E10" s="700"/>
      <c r="F10" s="679">
        <f>-INT(F1/1000000000)*100+INT(F1/10000000)</f>
        <v>0</v>
      </c>
      <c r="G10" s="681" t="str">
        <f t="shared" si="1"/>
        <v/>
      </c>
      <c r="H10" s="677"/>
      <c r="I10" s="680" t="str">
        <f>IF((G10=""),IF(H10="",""," Crore ")," Crore ")</f>
        <v/>
      </c>
      <c r="K10" s="679" t="e">
        <f>-INT(K1/1000000000)*100+INT(K1/10000000)</f>
        <v>#REF!</v>
      </c>
      <c r="L10" s="681" t="e">
        <f t="shared" si="2"/>
        <v>#REF!</v>
      </c>
      <c r="M10" s="677"/>
      <c r="N10" s="680" t="e">
        <f>IF((L10=""),IF(M10="",""," Crore ")," Crore ")</f>
        <v>#REF!</v>
      </c>
      <c r="P10" s="679">
        <f>-INT(P1/1000000000)*100+INT(P1/10000000)</f>
        <v>0</v>
      </c>
      <c r="Q10" s="681" t="str">
        <f t="shared" si="3"/>
        <v/>
      </c>
      <c r="R10" s="677"/>
      <c r="S10" s="680" t="str">
        <f>IF((Q10=""),IF(R10="",""," Crore ")," Crore ")</f>
        <v/>
      </c>
      <c r="T10" s="702" t="e">
        <f t="shared" si="4"/>
        <v>#REF!</v>
      </c>
      <c r="U10" s="694">
        <v>0</v>
      </c>
      <c r="V10" s="694">
        <v>0</v>
      </c>
      <c r="W10" s="694">
        <v>1</v>
      </c>
      <c r="X10" s="694">
        <v>0</v>
      </c>
      <c r="Y10" s="704" t="e">
        <f>IF(AND($A$1=0,$F$1=0,$K$1&gt;0,$P$1=0),$K$4, "")</f>
        <v>#REF!</v>
      </c>
    </row>
    <row r="11" spans="1:27">
      <c r="A11" s="682" t="e">
        <f>-INT(A1/10000000000)*1000+INT(A1/1000000000)</f>
        <v>#REF!</v>
      </c>
      <c r="B11" s="681" t="e">
        <f t="shared" si="0"/>
        <v>#REF!</v>
      </c>
      <c r="C11" s="677"/>
      <c r="D11" s="680" t="e">
        <f>IF((B11=""),IF(C11="",""," Hundred ")," Hundred ")</f>
        <v>#REF!</v>
      </c>
      <c r="E11" s="700"/>
      <c r="F11" s="682">
        <f>-INT(F1/10000000000)*1000+INT(F1/1000000000)</f>
        <v>0</v>
      </c>
      <c r="G11" s="681" t="str">
        <f t="shared" si="1"/>
        <v/>
      </c>
      <c r="H11" s="677"/>
      <c r="I11" s="680" t="str">
        <f>IF((G11=""),IF(H11="",""," Hundred ")," Hundred ")</f>
        <v/>
      </c>
      <c r="K11" s="682" t="e">
        <f>-INT(K1/10000000000)*1000+INT(K1/1000000000)</f>
        <v>#REF!</v>
      </c>
      <c r="L11" s="681" t="e">
        <f t="shared" si="2"/>
        <v>#REF!</v>
      </c>
      <c r="M11" s="677"/>
      <c r="N11" s="680" t="e">
        <f>IF((L11=""),IF(M11="",""," Hundred ")," Hundred ")</f>
        <v>#REF!</v>
      </c>
      <c r="P11" s="682">
        <f>-INT(P1/10000000000)*1000+INT(P1/1000000000)</f>
        <v>0</v>
      </c>
      <c r="Q11" s="681" t="str">
        <f t="shared" si="3"/>
        <v/>
      </c>
      <c r="R11" s="677"/>
      <c r="S11" s="680" t="str">
        <f>IF((Q11=""),IF(R11="",""," Hundred ")," Hundred ")</f>
        <v/>
      </c>
      <c r="T11" s="702" t="e">
        <f t="shared" si="4"/>
        <v>#REF!</v>
      </c>
      <c r="U11" s="694">
        <v>0</v>
      </c>
      <c r="V11" s="694">
        <v>0</v>
      </c>
      <c r="W11" s="694">
        <v>1</v>
      </c>
      <c r="X11" s="694">
        <v>1</v>
      </c>
      <c r="Y11" s="704" t="e">
        <f>IF(AND($A$1=0,$F$1=0,$K$1&gt;0,$P$1&gt;0),$K$4&amp;$AA$8&amp;$P$4, "")</f>
        <v>#REF!</v>
      </c>
    </row>
    <row r="12" spans="1:27">
      <c r="A12" s="683"/>
      <c r="B12" s="677"/>
      <c r="C12" s="677"/>
      <c r="D12" s="678"/>
      <c r="E12" s="700"/>
      <c r="F12" s="683"/>
      <c r="G12" s="677"/>
      <c r="H12" s="677"/>
      <c r="I12" s="678"/>
      <c r="K12" s="683"/>
      <c r="L12" s="677"/>
      <c r="M12" s="677"/>
      <c r="N12" s="678"/>
      <c r="P12" s="683"/>
      <c r="Q12" s="677"/>
      <c r="R12" s="677"/>
      <c r="S12" s="678"/>
      <c r="T12" s="702" t="e">
        <f t="shared" si="4"/>
        <v>#REF!</v>
      </c>
      <c r="U12" s="694">
        <v>0</v>
      </c>
      <c r="V12" s="694">
        <v>1</v>
      </c>
      <c r="W12" s="694">
        <v>0</v>
      </c>
      <c r="X12" s="694">
        <v>0</v>
      </c>
      <c r="Y12" s="704" t="e">
        <f>IF(AND($A$1=0,$F$1&gt;0,$K$1=0,$P$1=0),$F$4, "")</f>
        <v>#REF!</v>
      </c>
    </row>
    <row r="13" spans="1:27">
      <c r="A13" s="684">
        <v>1</v>
      </c>
      <c r="B13" s="685" t="s">
        <v>368</v>
      </c>
      <c r="C13" s="677"/>
      <c r="D13" s="678"/>
      <c r="E13" s="700"/>
      <c r="F13" s="684">
        <v>1</v>
      </c>
      <c r="G13" s="685" t="s">
        <v>368</v>
      </c>
      <c r="H13" s="677"/>
      <c r="I13" s="678"/>
      <c r="K13" s="684">
        <v>1</v>
      </c>
      <c r="L13" s="685" t="s">
        <v>368</v>
      </c>
      <c r="M13" s="677"/>
      <c r="N13" s="678"/>
      <c r="P13" s="684">
        <v>1</v>
      </c>
      <c r="Q13" s="685" t="s">
        <v>368</v>
      </c>
      <c r="R13" s="677"/>
      <c r="S13" s="678"/>
      <c r="T13" s="702" t="e">
        <f t="shared" si="4"/>
        <v>#REF!</v>
      </c>
      <c r="U13" s="694">
        <v>0</v>
      </c>
      <c r="V13" s="694">
        <v>1</v>
      </c>
      <c r="W13" s="694">
        <v>0</v>
      </c>
      <c r="X13" s="694">
        <v>1</v>
      </c>
      <c r="Y13" s="704" t="e">
        <f>IF(AND($A$1=0,$F$1&gt;0,$K$1=0,$P$1&gt;0),$F$4&amp;$AA$8&amp;$P$4, "")</f>
        <v>#REF!</v>
      </c>
    </row>
    <row r="14" spans="1:27">
      <c r="A14" s="684">
        <v>2</v>
      </c>
      <c r="B14" s="685" t="s">
        <v>369</v>
      </c>
      <c r="C14" s="677"/>
      <c r="D14" s="678"/>
      <c r="E14" s="700"/>
      <c r="F14" s="684">
        <v>2</v>
      </c>
      <c r="G14" s="685" t="s">
        <v>369</v>
      </c>
      <c r="H14" s="677"/>
      <c r="I14" s="678"/>
      <c r="K14" s="684">
        <v>2</v>
      </c>
      <c r="L14" s="685" t="s">
        <v>369</v>
      </c>
      <c r="M14" s="677"/>
      <c r="N14" s="678"/>
      <c r="P14" s="684">
        <v>2</v>
      </c>
      <c r="Q14" s="685" t="s">
        <v>369</v>
      </c>
      <c r="R14" s="677"/>
      <c r="S14" s="678"/>
      <c r="T14" s="702" t="e">
        <f t="shared" si="4"/>
        <v>#REF!</v>
      </c>
      <c r="U14" s="694">
        <v>0</v>
      </c>
      <c r="V14" s="694">
        <v>1</v>
      </c>
      <c r="W14" s="694">
        <v>1</v>
      </c>
      <c r="X14" s="694">
        <v>0</v>
      </c>
      <c r="Y14" s="704" t="e">
        <f>IF(AND($A$1=0,$F$1&gt;0,$K$1&gt;0,$P$1=0),$F$4&amp;$AA$8&amp;$K$4, "")</f>
        <v>#REF!</v>
      </c>
    </row>
    <row r="15" spans="1:27">
      <c r="A15" s="684">
        <v>3</v>
      </c>
      <c r="B15" s="685" t="s">
        <v>370</v>
      </c>
      <c r="C15" s="677"/>
      <c r="D15" s="678"/>
      <c r="E15" s="700"/>
      <c r="F15" s="684">
        <v>3</v>
      </c>
      <c r="G15" s="685" t="s">
        <v>370</v>
      </c>
      <c r="H15" s="677"/>
      <c r="I15" s="678"/>
      <c r="K15" s="684">
        <v>3</v>
      </c>
      <c r="L15" s="685" t="s">
        <v>370</v>
      </c>
      <c r="M15" s="677"/>
      <c r="N15" s="678"/>
      <c r="P15" s="684">
        <v>3</v>
      </c>
      <c r="Q15" s="685" t="s">
        <v>370</v>
      </c>
      <c r="R15" s="677"/>
      <c r="S15" s="678"/>
      <c r="T15" s="702" t="e">
        <f t="shared" si="4"/>
        <v>#REF!</v>
      </c>
      <c r="U15" s="694">
        <v>0</v>
      </c>
      <c r="V15" s="694">
        <v>1</v>
      </c>
      <c r="W15" s="694">
        <v>1</v>
      </c>
      <c r="X15" s="694">
        <v>1</v>
      </c>
      <c r="Y15" s="705" t="e">
        <f>IF(AND($A$1=0,$F$1&gt;0,$K$1&gt;0,$P$1&gt;0),$F$4&amp;$AA$8&amp;$K$4&amp;$AA$8&amp;$P$4, "")</f>
        <v>#REF!</v>
      </c>
    </row>
    <row r="16" spans="1:27">
      <c r="A16" s="684">
        <v>4</v>
      </c>
      <c r="B16" s="685" t="s">
        <v>371</v>
      </c>
      <c r="C16" s="677"/>
      <c r="D16" s="678"/>
      <c r="E16" s="700"/>
      <c r="F16" s="684">
        <v>4</v>
      </c>
      <c r="G16" s="685" t="s">
        <v>371</v>
      </c>
      <c r="H16" s="677"/>
      <c r="I16" s="678"/>
      <c r="K16" s="684">
        <v>4</v>
      </c>
      <c r="L16" s="685" t="s">
        <v>371</v>
      </c>
      <c r="M16" s="677"/>
      <c r="N16" s="678"/>
      <c r="P16" s="684">
        <v>4</v>
      </c>
      <c r="Q16" s="685" t="s">
        <v>371</v>
      </c>
      <c r="R16" s="677"/>
      <c r="S16" s="678"/>
      <c r="T16" s="702" t="e">
        <f t="shared" si="4"/>
        <v>#REF!</v>
      </c>
      <c r="U16" s="694">
        <v>1</v>
      </c>
      <c r="V16" s="694">
        <v>0</v>
      </c>
      <c r="W16" s="694">
        <v>0</v>
      </c>
      <c r="X16" s="694">
        <v>0</v>
      </c>
      <c r="Y16" s="703" t="e">
        <f>IF(AND($A$1&gt;0,$F$1=0,$K$1=0,$P$1=0), $A$4, "")</f>
        <v>#REF!</v>
      </c>
    </row>
    <row r="17" spans="1:27">
      <c r="A17" s="684">
        <v>5</v>
      </c>
      <c r="B17" s="685" t="s">
        <v>372</v>
      </c>
      <c r="C17" s="677"/>
      <c r="D17" s="678"/>
      <c r="E17" s="700"/>
      <c r="F17" s="684">
        <v>5</v>
      </c>
      <c r="G17" s="685" t="s">
        <v>372</v>
      </c>
      <c r="H17" s="677"/>
      <c r="I17" s="678"/>
      <c r="K17" s="684">
        <v>5</v>
      </c>
      <c r="L17" s="685" t="s">
        <v>372</v>
      </c>
      <c r="M17" s="677"/>
      <c r="N17" s="678"/>
      <c r="P17" s="684">
        <v>5</v>
      </c>
      <c r="Q17" s="685" t="s">
        <v>372</v>
      </c>
      <c r="R17" s="677"/>
      <c r="S17" s="678"/>
      <c r="T17" s="702" t="e">
        <f t="shared" si="4"/>
        <v>#REF!</v>
      </c>
      <c r="U17" s="694">
        <v>1</v>
      </c>
      <c r="V17" s="694">
        <v>0</v>
      </c>
      <c r="W17" s="694">
        <v>0</v>
      </c>
      <c r="X17" s="694">
        <v>1</v>
      </c>
      <c r="Y17" s="704" t="e">
        <f>IF(AND($A$1&gt;0,$F$1=0,$K$1=0,$P$1&gt;0),$A$4&amp;$AA$8&amp;$P$4, "")</f>
        <v>#REF!</v>
      </c>
    </row>
    <row r="18" spans="1:27">
      <c r="A18" s="684">
        <v>6</v>
      </c>
      <c r="B18" s="685" t="s">
        <v>373</v>
      </c>
      <c r="C18" s="677"/>
      <c r="D18" s="678"/>
      <c r="E18" s="700"/>
      <c r="F18" s="684">
        <v>6</v>
      </c>
      <c r="G18" s="685" t="s">
        <v>373</v>
      </c>
      <c r="H18" s="677"/>
      <c r="I18" s="678"/>
      <c r="K18" s="684">
        <v>6</v>
      </c>
      <c r="L18" s="685" t="s">
        <v>373</v>
      </c>
      <c r="M18" s="677"/>
      <c r="N18" s="678"/>
      <c r="P18" s="684">
        <v>6</v>
      </c>
      <c r="Q18" s="685" t="s">
        <v>373</v>
      </c>
      <c r="R18" s="677"/>
      <c r="S18" s="678"/>
      <c r="T18" s="702" t="e">
        <f t="shared" si="4"/>
        <v>#REF!</v>
      </c>
      <c r="U18" s="694">
        <v>1</v>
      </c>
      <c r="V18" s="694">
        <v>0</v>
      </c>
      <c r="W18" s="694">
        <v>1</v>
      </c>
      <c r="X18" s="694">
        <v>0</v>
      </c>
      <c r="Y18" s="704" t="e">
        <f>IF(AND($A$1&gt;0,$F$1=0,$K$1&gt;0,$P$1=0),$A$4&amp;$AA$8&amp;$K$4, "")</f>
        <v>#REF!</v>
      </c>
    </row>
    <row r="19" spans="1:27">
      <c r="A19" s="684">
        <v>7</v>
      </c>
      <c r="B19" s="685" t="s">
        <v>374</v>
      </c>
      <c r="C19" s="677"/>
      <c r="D19" s="678"/>
      <c r="E19" s="700"/>
      <c r="F19" s="684">
        <v>7</v>
      </c>
      <c r="G19" s="685" t="s">
        <v>374</v>
      </c>
      <c r="H19" s="677"/>
      <c r="I19" s="678"/>
      <c r="K19" s="684">
        <v>7</v>
      </c>
      <c r="L19" s="685" t="s">
        <v>374</v>
      </c>
      <c r="M19" s="677"/>
      <c r="N19" s="678"/>
      <c r="P19" s="684">
        <v>7</v>
      </c>
      <c r="Q19" s="685" t="s">
        <v>374</v>
      </c>
      <c r="R19" s="677"/>
      <c r="S19" s="678"/>
      <c r="T19" s="702" t="e">
        <f t="shared" si="4"/>
        <v>#REF!</v>
      </c>
      <c r="U19" s="694">
        <v>1</v>
      </c>
      <c r="V19" s="694">
        <v>0</v>
      </c>
      <c r="W19" s="694">
        <v>1</v>
      </c>
      <c r="X19" s="694">
        <v>1</v>
      </c>
      <c r="Y19" s="704" t="e">
        <f>IF(AND($A$1&gt;0,$F$1=0,$K$1&gt;0,$P$1&gt;0),$A$4&amp;$AA$8&amp;$K$4&amp;$AA$8&amp;$P$4, "")</f>
        <v>#REF!</v>
      </c>
    </row>
    <row r="20" spans="1:27">
      <c r="A20" s="684">
        <v>8</v>
      </c>
      <c r="B20" s="685" t="s">
        <v>375</v>
      </c>
      <c r="C20" s="677"/>
      <c r="D20" s="678"/>
      <c r="E20" s="700"/>
      <c r="F20" s="684">
        <v>8</v>
      </c>
      <c r="G20" s="685" t="s">
        <v>375</v>
      </c>
      <c r="H20" s="677"/>
      <c r="I20" s="678"/>
      <c r="K20" s="684">
        <v>8</v>
      </c>
      <c r="L20" s="685" t="s">
        <v>375</v>
      </c>
      <c r="M20" s="677"/>
      <c r="N20" s="678"/>
      <c r="P20" s="684">
        <v>8</v>
      </c>
      <c r="Q20" s="685" t="s">
        <v>375</v>
      </c>
      <c r="R20" s="677"/>
      <c r="S20" s="678"/>
      <c r="T20" s="702" t="e">
        <f t="shared" si="4"/>
        <v>#REF!</v>
      </c>
      <c r="U20" s="694">
        <v>1</v>
      </c>
      <c r="V20" s="694">
        <v>1</v>
      </c>
      <c r="W20" s="694">
        <v>0</v>
      </c>
      <c r="X20" s="694">
        <v>0</v>
      </c>
      <c r="Y20" s="704" t="e">
        <f>IF(AND($A$1&gt;0,$F$1&gt;0,$K$1=0,$P$1=0),$A$4&amp;$AA$8&amp;$F$4, "")</f>
        <v>#REF!</v>
      </c>
    </row>
    <row r="21" spans="1:27">
      <c r="A21" s="684">
        <v>9</v>
      </c>
      <c r="B21" s="685" t="s">
        <v>376</v>
      </c>
      <c r="C21" s="677"/>
      <c r="D21" s="678"/>
      <c r="E21" s="700"/>
      <c r="F21" s="684">
        <v>9</v>
      </c>
      <c r="G21" s="685" t="s">
        <v>376</v>
      </c>
      <c r="H21" s="677"/>
      <c r="I21" s="678"/>
      <c r="K21" s="684">
        <v>9</v>
      </c>
      <c r="L21" s="685" t="s">
        <v>376</v>
      </c>
      <c r="M21" s="677"/>
      <c r="N21" s="678"/>
      <c r="P21" s="684">
        <v>9</v>
      </c>
      <c r="Q21" s="685" t="s">
        <v>376</v>
      </c>
      <c r="R21" s="677"/>
      <c r="S21" s="678"/>
      <c r="T21" s="702" t="e">
        <f t="shared" si="4"/>
        <v>#REF!</v>
      </c>
      <c r="U21" s="694">
        <v>1</v>
      </c>
      <c r="V21" s="694">
        <v>1</v>
      </c>
      <c r="W21" s="694">
        <v>0</v>
      </c>
      <c r="X21" s="694">
        <v>1</v>
      </c>
      <c r="Y21" s="704" t="e">
        <f>IF(AND($A$1&gt;0,$F$1&gt;0,$K$1=0,$P$1&gt;0),$A$4&amp;$AA$8&amp;$F$4&amp;$AA$8&amp;$P$4, "")</f>
        <v>#REF!</v>
      </c>
    </row>
    <row r="22" spans="1:27">
      <c r="A22" s="684">
        <v>10</v>
      </c>
      <c r="B22" s="685" t="s">
        <v>377</v>
      </c>
      <c r="C22" s="677"/>
      <c r="D22" s="678"/>
      <c r="E22" s="700"/>
      <c r="F22" s="684">
        <v>10</v>
      </c>
      <c r="G22" s="685" t="s">
        <v>377</v>
      </c>
      <c r="H22" s="677"/>
      <c r="I22" s="678"/>
      <c r="K22" s="684">
        <v>10</v>
      </c>
      <c r="L22" s="685" t="s">
        <v>377</v>
      </c>
      <c r="M22" s="677"/>
      <c r="N22" s="678"/>
      <c r="P22" s="684">
        <v>10</v>
      </c>
      <c r="Q22" s="685" t="s">
        <v>377</v>
      </c>
      <c r="R22" s="677"/>
      <c r="S22" s="678"/>
      <c r="T22" s="702" t="e">
        <f t="shared" si="4"/>
        <v>#REF!</v>
      </c>
      <c r="U22" s="694">
        <v>1</v>
      </c>
      <c r="V22" s="694">
        <v>1</v>
      </c>
      <c r="W22" s="694">
        <v>1</v>
      </c>
      <c r="X22" s="694">
        <v>0</v>
      </c>
      <c r="Y22" s="704" t="e">
        <f>IF(AND($A$1&gt;0,$F$1&gt;0,$K$1&gt;0,$P$1=0),$A$4&amp;$AA$8&amp;$F$4&amp;$AA$8&amp;$K$4, "")</f>
        <v>#REF!</v>
      </c>
    </row>
    <row r="23" spans="1:27">
      <c r="A23" s="684">
        <v>11</v>
      </c>
      <c r="B23" s="685" t="s">
        <v>378</v>
      </c>
      <c r="C23" s="677"/>
      <c r="D23" s="678"/>
      <c r="E23" s="700"/>
      <c r="F23" s="684">
        <v>11</v>
      </c>
      <c r="G23" s="685" t="s">
        <v>378</v>
      </c>
      <c r="H23" s="677"/>
      <c r="I23" s="678"/>
      <c r="K23" s="684">
        <v>11</v>
      </c>
      <c r="L23" s="685" t="s">
        <v>378</v>
      </c>
      <c r="M23" s="677"/>
      <c r="N23" s="678"/>
      <c r="P23" s="684">
        <v>11</v>
      </c>
      <c r="Q23" s="685" t="s">
        <v>378</v>
      </c>
      <c r="R23" s="677"/>
      <c r="S23" s="678"/>
      <c r="T23" s="702" t="e">
        <f t="shared" si="4"/>
        <v>#REF!</v>
      </c>
      <c r="U23" s="694">
        <v>1</v>
      </c>
      <c r="V23" s="694">
        <v>1</v>
      </c>
      <c r="W23" s="694">
        <v>1</v>
      </c>
      <c r="X23" s="694">
        <v>1</v>
      </c>
      <c r="Y23" s="705" t="e">
        <f>IF(AND($A$1&gt;0,$F$1&gt;0,$K$1&gt;0,$P$1&gt;0),$A$4&amp;$AA$8&amp;$F$4&amp;$AA$8&amp;$K$4&amp;$AA$8&amp;$P$4, "")</f>
        <v>#REF!</v>
      </c>
    </row>
    <row r="24" spans="1:27">
      <c r="A24" s="684">
        <v>12</v>
      </c>
      <c r="B24" s="685" t="s">
        <v>379</v>
      </c>
      <c r="C24" s="677"/>
      <c r="D24" s="678"/>
      <c r="E24" s="700"/>
      <c r="F24" s="684">
        <v>12</v>
      </c>
      <c r="G24" s="685" t="s">
        <v>379</v>
      </c>
      <c r="H24" s="677"/>
      <c r="I24" s="678"/>
      <c r="K24" s="684">
        <v>12</v>
      </c>
      <c r="L24" s="685" t="s">
        <v>379</v>
      </c>
      <c r="M24" s="677"/>
      <c r="N24" s="678"/>
      <c r="P24" s="684">
        <v>12</v>
      </c>
      <c r="Q24" s="685" t="s">
        <v>379</v>
      </c>
      <c r="R24" s="677"/>
      <c r="S24" s="678"/>
    </row>
    <row r="25" spans="1:27">
      <c r="A25" s="684">
        <v>13</v>
      </c>
      <c r="B25" s="685" t="s">
        <v>380</v>
      </c>
      <c r="C25" s="677"/>
      <c r="D25" s="678"/>
      <c r="E25" s="700"/>
      <c r="F25" s="684">
        <v>13</v>
      </c>
      <c r="G25" s="685" t="s">
        <v>380</v>
      </c>
      <c r="H25" s="677"/>
      <c r="I25" s="678"/>
      <c r="K25" s="684">
        <v>13</v>
      </c>
      <c r="L25" s="685" t="s">
        <v>380</v>
      </c>
      <c r="M25" s="677"/>
      <c r="N25" s="678"/>
      <c r="P25" s="684">
        <v>13</v>
      </c>
      <c r="Q25" s="685" t="s">
        <v>380</v>
      </c>
      <c r="R25" s="677"/>
      <c r="S25" s="678"/>
    </row>
    <row r="26" spans="1:27">
      <c r="A26" s="684">
        <v>14</v>
      </c>
      <c r="B26" s="685" t="s">
        <v>381</v>
      </c>
      <c r="C26" s="677"/>
      <c r="D26" s="678"/>
      <c r="E26" s="700"/>
      <c r="F26" s="684">
        <v>14</v>
      </c>
      <c r="G26" s="685" t="s">
        <v>381</v>
      </c>
      <c r="H26" s="677"/>
      <c r="I26" s="678"/>
      <c r="K26" s="684">
        <v>14</v>
      </c>
      <c r="L26" s="685" t="s">
        <v>381</v>
      </c>
      <c r="M26" s="677"/>
      <c r="N26" s="678"/>
      <c r="P26" s="684">
        <v>14</v>
      </c>
      <c r="Q26" s="685" t="s">
        <v>381</v>
      </c>
      <c r="R26" s="677"/>
      <c r="S26" s="678"/>
    </row>
    <row r="27" spans="1:27">
      <c r="A27" s="684">
        <v>15</v>
      </c>
      <c r="B27" s="685" t="s">
        <v>382</v>
      </c>
      <c r="C27" s="677"/>
      <c r="D27" s="678"/>
      <c r="E27" s="700"/>
      <c r="F27" s="684">
        <v>15</v>
      </c>
      <c r="G27" s="685" t="s">
        <v>382</v>
      </c>
      <c r="H27" s="677"/>
      <c r="I27" s="678"/>
      <c r="K27" s="684">
        <v>15</v>
      </c>
      <c r="L27" s="685" t="s">
        <v>382</v>
      </c>
      <c r="M27" s="677"/>
      <c r="N27" s="678"/>
      <c r="P27" s="684">
        <v>15</v>
      </c>
      <c r="Q27" s="685" t="s">
        <v>382</v>
      </c>
      <c r="R27" s="677"/>
      <c r="S27" s="678"/>
    </row>
    <row r="28" spans="1:27">
      <c r="A28" s="684">
        <v>16</v>
      </c>
      <c r="B28" s="685" t="s">
        <v>383</v>
      </c>
      <c r="C28" s="677"/>
      <c r="D28" s="678"/>
      <c r="E28" s="700"/>
      <c r="F28" s="684">
        <v>16</v>
      </c>
      <c r="G28" s="685" t="s">
        <v>383</v>
      </c>
      <c r="H28" s="677"/>
      <c r="I28" s="678"/>
      <c r="K28" s="684">
        <v>16</v>
      </c>
      <c r="L28" s="685" t="s">
        <v>383</v>
      </c>
      <c r="M28" s="677"/>
      <c r="N28" s="678"/>
      <c r="P28" s="684">
        <v>16</v>
      </c>
      <c r="Q28" s="685" t="s">
        <v>383</v>
      </c>
      <c r="R28" s="677"/>
      <c r="S28" s="678"/>
      <c r="T28" s="702" t="e">
        <f>IF(Y28="",0, 1)</f>
        <v>#REF!</v>
      </c>
      <c r="U28" s="694">
        <v>0</v>
      </c>
      <c r="V28" s="694">
        <v>0</v>
      </c>
      <c r="W28" s="694">
        <v>0</v>
      </c>
      <c r="X28" s="694">
        <v>0</v>
      </c>
      <c r="Y28" s="703" t="e">
        <f>IF(AND($A$1=0,$F$1=0,$K$1=0,$P$1=0)," 0/-", "")</f>
        <v>#REF!</v>
      </c>
      <c r="AA28" s="694" t="s">
        <v>470</v>
      </c>
    </row>
    <row r="29" spans="1:27">
      <c r="A29" s="684">
        <v>17</v>
      </c>
      <c r="B29" s="685" t="s">
        <v>384</v>
      </c>
      <c r="C29" s="677"/>
      <c r="D29" s="678"/>
      <c r="E29" s="700"/>
      <c r="F29" s="684">
        <v>17</v>
      </c>
      <c r="G29" s="685" t="s">
        <v>384</v>
      </c>
      <c r="H29" s="677"/>
      <c r="I29" s="678"/>
      <c r="K29" s="684">
        <v>17</v>
      </c>
      <c r="L29" s="685" t="s">
        <v>384</v>
      </c>
      <c r="M29" s="677"/>
      <c r="N29" s="678"/>
      <c r="P29" s="684">
        <v>17</v>
      </c>
      <c r="Q29" s="685" t="s">
        <v>384</v>
      </c>
      <c r="R29" s="677"/>
      <c r="S29" s="678"/>
      <c r="T29" s="702" t="e">
        <f t="shared" ref="T29:T43" si="5">IF(Y29="",0, 1)</f>
        <v>#REF!</v>
      </c>
      <c r="U29" s="694">
        <v>0</v>
      </c>
      <c r="V29" s="694">
        <v>0</v>
      </c>
      <c r="W29" s="694">
        <v>0</v>
      </c>
      <c r="X29" s="694">
        <v>1</v>
      </c>
      <c r="Y29" s="704" t="e">
        <f>IF(AND($A$1=0,$F$1=0,$K$1=0,$P$1&gt;0),$U$3&amp;$P$1&amp;$AA$30, "")</f>
        <v>#REF!</v>
      </c>
      <c r="AA29" s="694" t="s">
        <v>471</v>
      </c>
    </row>
    <row r="30" spans="1:27">
      <c r="A30" s="684">
        <v>18</v>
      </c>
      <c r="B30" s="685" t="s">
        <v>385</v>
      </c>
      <c r="C30" s="677"/>
      <c r="D30" s="678"/>
      <c r="E30" s="700"/>
      <c r="F30" s="684">
        <v>18</v>
      </c>
      <c r="G30" s="685" t="s">
        <v>385</v>
      </c>
      <c r="H30" s="677"/>
      <c r="I30" s="678"/>
      <c r="K30" s="684">
        <v>18</v>
      </c>
      <c r="L30" s="685" t="s">
        <v>385</v>
      </c>
      <c r="M30" s="677"/>
      <c r="N30" s="678"/>
      <c r="P30" s="684">
        <v>18</v>
      </c>
      <c r="Q30" s="685" t="s">
        <v>385</v>
      </c>
      <c r="R30" s="677"/>
      <c r="S30" s="678"/>
      <c r="T30" s="702" t="e">
        <f t="shared" si="5"/>
        <v>#REF!</v>
      </c>
      <c r="U30" s="694">
        <v>0</v>
      </c>
      <c r="V30" s="694">
        <v>0</v>
      </c>
      <c r="W30" s="694">
        <v>1</v>
      </c>
      <c r="X30" s="694">
        <v>0</v>
      </c>
      <c r="Y30" s="704" t="e">
        <f>IF(AND($A$1=0,$F$1=0,$K$1&gt;0,$P$1=0),$U$2&amp;$K$1&amp;$AA$30, "")</f>
        <v>#REF!</v>
      </c>
      <c r="AA30" s="694" t="s">
        <v>472</v>
      </c>
    </row>
    <row r="31" spans="1:27">
      <c r="A31" s="684">
        <v>19</v>
      </c>
      <c r="B31" s="685" t="s">
        <v>386</v>
      </c>
      <c r="C31" s="677"/>
      <c r="D31" s="678"/>
      <c r="E31" s="700"/>
      <c r="F31" s="684">
        <v>19</v>
      </c>
      <c r="G31" s="685" t="s">
        <v>386</v>
      </c>
      <c r="H31" s="677"/>
      <c r="I31" s="678"/>
      <c r="K31" s="684">
        <v>19</v>
      </c>
      <c r="L31" s="685" t="s">
        <v>386</v>
      </c>
      <c r="M31" s="677"/>
      <c r="N31" s="678"/>
      <c r="P31" s="684">
        <v>19</v>
      </c>
      <c r="Q31" s="685" t="s">
        <v>386</v>
      </c>
      <c r="R31" s="677"/>
      <c r="S31" s="678"/>
      <c r="T31" s="702" t="e">
        <f t="shared" si="5"/>
        <v>#REF!</v>
      </c>
      <c r="U31" s="694">
        <v>0</v>
      </c>
      <c r="V31" s="694">
        <v>0</v>
      </c>
      <c r="W31" s="694">
        <v>1</v>
      </c>
      <c r="X31" s="694">
        <v>1</v>
      </c>
      <c r="Y31" s="704" t="e">
        <f>IF(AND($A$1=0,$F$1=0,$K$1&gt;0,$P$1&gt;0),$U$2&amp;$K$1&amp;$AA$29&amp;$U$3&amp;$P$1&amp;$AA$30, "")</f>
        <v>#REF!</v>
      </c>
    </row>
    <row r="32" spans="1:27">
      <c r="A32" s="684">
        <v>20</v>
      </c>
      <c r="B32" s="685" t="s">
        <v>387</v>
      </c>
      <c r="C32" s="677"/>
      <c r="D32" s="678"/>
      <c r="E32" s="700"/>
      <c r="F32" s="684">
        <v>20</v>
      </c>
      <c r="G32" s="685" t="s">
        <v>387</v>
      </c>
      <c r="H32" s="677"/>
      <c r="I32" s="678"/>
      <c r="K32" s="684">
        <v>20</v>
      </c>
      <c r="L32" s="685" t="s">
        <v>387</v>
      </c>
      <c r="M32" s="677"/>
      <c r="N32" s="678"/>
      <c r="P32" s="684">
        <v>20</v>
      </c>
      <c r="Q32" s="685" t="s">
        <v>387</v>
      </c>
      <c r="R32" s="677"/>
      <c r="S32" s="678"/>
      <c r="T32" s="702" t="e">
        <f t="shared" si="5"/>
        <v>#REF!</v>
      </c>
      <c r="U32" s="694">
        <v>0</v>
      </c>
      <c r="V32" s="694">
        <v>1</v>
      </c>
      <c r="W32" s="694">
        <v>0</v>
      </c>
      <c r="X32" s="694">
        <v>0</v>
      </c>
      <c r="Y32" s="704" t="e">
        <f>IF(AND($A$1=0,$F$1&gt;0,$K$1=0,$P$1=0),$U$1&amp;$F$1&amp;$AA$30, "")</f>
        <v>#REF!</v>
      </c>
    </row>
    <row r="33" spans="1:25">
      <c r="A33" s="684">
        <v>21</v>
      </c>
      <c r="B33" s="685" t="s">
        <v>388</v>
      </c>
      <c r="C33" s="677"/>
      <c r="D33" s="678"/>
      <c r="E33" s="700"/>
      <c r="F33" s="684">
        <v>21</v>
      </c>
      <c r="G33" s="685" t="s">
        <v>388</v>
      </c>
      <c r="H33" s="677"/>
      <c r="I33" s="678"/>
      <c r="K33" s="684">
        <v>21</v>
      </c>
      <c r="L33" s="685" t="s">
        <v>388</v>
      </c>
      <c r="M33" s="677"/>
      <c r="N33" s="678"/>
      <c r="P33" s="684">
        <v>21</v>
      </c>
      <c r="Q33" s="685" t="s">
        <v>388</v>
      </c>
      <c r="R33" s="677"/>
      <c r="S33" s="678"/>
      <c r="T33" s="702" t="e">
        <f t="shared" si="5"/>
        <v>#REF!</v>
      </c>
      <c r="U33" s="694">
        <v>0</v>
      </c>
      <c r="V33" s="694">
        <v>1</v>
      </c>
      <c r="W33" s="694">
        <v>0</v>
      </c>
      <c r="X33" s="694">
        <v>1</v>
      </c>
      <c r="Y33" s="704" t="e">
        <f>IF(AND($A$1=0,$F$1&gt;0,$K$1=0,$P$1&gt;0),$U$1&amp;$F$1&amp;$AA$29&amp;$U$3&amp;$P$1&amp;$AA$30, "")</f>
        <v>#REF!</v>
      </c>
    </row>
    <row r="34" spans="1:25">
      <c r="A34" s="684">
        <v>22</v>
      </c>
      <c r="B34" s="685" t="s">
        <v>389</v>
      </c>
      <c r="C34" s="677"/>
      <c r="D34" s="678"/>
      <c r="E34" s="700"/>
      <c r="F34" s="684">
        <v>22</v>
      </c>
      <c r="G34" s="685" t="s">
        <v>389</v>
      </c>
      <c r="H34" s="677"/>
      <c r="I34" s="678"/>
      <c r="K34" s="684">
        <v>22</v>
      </c>
      <c r="L34" s="685" t="s">
        <v>389</v>
      </c>
      <c r="M34" s="677"/>
      <c r="N34" s="678"/>
      <c r="P34" s="684">
        <v>22</v>
      </c>
      <c r="Q34" s="685" t="s">
        <v>389</v>
      </c>
      <c r="R34" s="677"/>
      <c r="S34" s="678"/>
      <c r="T34" s="702" t="e">
        <f t="shared" si="5"/>
        <v>#REF!</v>
      </c>
      <c r="U34" s="694">
        <v>0</v>
      </c>
      <c r="V34" s="694">
        <v>1</v>
      </c>
      <c r="W34" s="694">
        <v>1</v>
      </c>
      <c r="X34" s="694">
        <v>0</v>
      </c>
      <c r="Y34" s="704" t="e">
        <f>IF(AND($A$1=0,$F$1&gt;0,$K$1&gt;0,$P$1=0),$U$1&amp;$F$1&amp;$AA$29&amp;$U$2&amp;$K$1, "")</f>
        <v>#REF!</v>
      </c>
    </row>
    <row r="35" spans="1:25">
      <c r="A35" s="684">
        <v>23</v>
      </c>
      <c r="B35" s="685" t="s">
        <v>390</v>
      </c>
      <c r="C35" s="677"/>
      <c r="D35" s="678"/>
      <c r="E35" s="700"/>
      <c r="F35" s="684">
        <v>23</v>
      </c>
      <c r="G35" s="685" t="s">
        <v>390</v>
      </c>
      <c r="H35" s="677"/>
      <c r="I35" s="678"/>
      <c r="K35" s="684">
        <v>23</v>
      </c>
      <c r="L35" s="685" t="s">
        <v>390</v>
      </c>
      <c r="M35" s="677"/>
      <c r="N35" s="678"/>
      <c r="P35" s="684">
        <v>23</v>
      </c>
      <c r="Q35" s="685" t="s">
        <v>390</v>
      </c>
      <c r="R35" s="677"/>
      <c r="S35" s="678"/>
      <c r="T35" s="702" t="e">
        <f t="shared" si="5"/>
        <v>#REF!</v>
      </c>
      <c r="U35" s="694">
        <v>0</v>
      </c>
      <c r="V35" s="694">
        <v>1</v>
      </c>
      <c r="W35" s="694">
        <v>1</v>
      </c>
      <c r="X35" s="694">
        <v>1</v>
      </c>
      <c r="Y35" s="705" t="e">
        <f>IF(AND($A$1=0,$F$1&gt;0,$K$1&gt;0,$P$1&gt;0),$U$1&amp;$F$1&amp;$AA$29&amp;$U$2&amp;$K$1&amp;$AA$29&amp;$U$3&amp;$P$1&amp;$AA$30, "")</f>
        <v>#REF!</v>
      </c>
    </row>
    <row r="36" spans="1:25">
      <c r="A36" s="684">
        <v>24</v>
      </c>
      <c r="B36" s="685" t="s">
        <v>391</v>
      </c>
      <c r="C36" s="677"/>
      <c r="D36" s="678"/>
      <c r="E36" s="700"/>
      <c r="F36" s="684">
        <v>24</v>
      </c>
      <c r="G36" s="685" t="s">
        <v>391</v>
      </c>
      <c r="H36" s="677"/>
      <c r="I36" s="678"/>
      <c r="K36" s="684">
        <v>24</v>
      </c>
      <c r="L36" s="685" t="s">
        <v>391</v>
      </c>
      <c r="M36" s="677"/>
      <c r="N36" s="678"/>
      <c r="P36" s="684">
        <v>24</v>
      </c>
      <c r="Q36" s="685" t="s">
        <v>391</v>
      </c>
      <c r="R36" s="677"/>
      <c r="S36" s="678"/>
      <c r="T36" s="702" t="e">
        <f t="shared" si="5"/>
        <v>#REF!</v>
      </c>
      <c r="U36" s="694">
        <v>1</v>
      </c>
      <c r="V36" s="694">
        <v>0</v>
      </c>
      <c r="W36" s="694">
        <v>0</v>
      </c>
      <c r="X36" s="694">
        <v>0</v>
      </c>
      <c r="Y36" s="703" t="e">
        <f>IF(AND($A$1&gt;0,$F$1=0,$K$1=0,$P$1=0),#REF!&amp; $A$1&amp;$AA$30, "")</f>
        <v>#REF!</v>
      </c>
    </row>
    <row r="37" spans="1:25">
      <c r="A37" s="684">
        <v>25</v>
      </c>
      <c r="B37" s="685" t="s">
        <v>392</v>
      </c>
      <c r="C37" s="677"/>
      <c r="D37" s="678"/>
      <c r="E37" s="700"/>
      <c r="F37" s="684">
        <v>25</v>
      </c>
      <c r="G37" s="685" t="s">
        <v>392</v>
      </c>
      <c r="H37" s="677"/>
      <c r="I37" s="678"/>
      <c r="K37" s="684">
        <v>25</v>
      </c>
      <c r="L37" s="685" t="s">
        <v>392</v>
      </c>
      <c r="M37" s="677"/>
      <c r="N37" s="678"/>
      <c r="P37" s="684">
        <v>25</v>
      </c>
      <c r="Q37" s="685" t="s">
        <v>392</v>
      </c>
      <c r="R37" s="677"/>
      <c r="S37" s="678"/>
      <c r="T37" s="702" t="e">
        <f t="shared" si="5"/>
        <v>#REF!</v>
      </c>
      <c r="U37" s="694">
        <v>1</v>
      </c>
      <c r="V37" s="694">
        <v>0</v>
      </c>
      <c r="W37" s="694">
        <v>0</v>
      </c>
      <c r="X37" s="694">
        <v>1</v>
      </c>
      <c r="Y37" s="704" t="e">
        <f>IF(AND($A$1&gt;0,$F$1=0,$K$1=0,$P$1&gt;0),#REF!&amp;$A$1&amp;$AA$29&amp;$U$3&amp;$P$1&amp;$AA$30, "")</f>
        <v>#REF!</v>
      </c>
    </row>
    <row r="38" spans="1:25">
      <c r="A38" s="684">
        <v>26</v>
      </c>
      <c r="B38" s="685" t="s">
        <v>393</v>
      </c>
      <c r="C38" s="677"/>
      <c r="D38" s="678"/>
      <c r="E38" s="700"/>
      <c r="F38" s="684">
        <v>26</v>
      </c>
      <c r="G38" s="685" t="s">
        <v>393</v>
      </c>
      <c r="H38" s="677"/>
      <c r="I38" s="678"/>
      <c r="K38" s="684">
        <v>26</v>
      </c>
      <c r="L38" s="685" t="s">
        <v>393</v>
      </c>
      <c r="M38" s="677"/>
      <c r="N38" s="678"/>
      <c r="P38" s="684">
        <v>26</v>
      </c>
      <c r="Q38" s="685" t="s">
        <v>393</v>
      </c>
      <c r="R38" s="677"/>
      <c r="S38" s="678"/>
      <c r="T38" s="702" t="e">
        <f t="shared" si="5"/>
        <v>#REF!</v>
      </c>
      <c r="U38" s="694">
        <v>1</v>
      </c>
      <c r="V38" s="694">
        <v>0</v>
      </c>
      <c r="W38" s="694">
        <v>1</v>
      </c>
      <c r="X38" s="694">
        <v>0</v>
      </c>
      <c r="Y38" s="704" t="e">
        <f>IF(AND($A$1&gt;0,$F$1=0,$K$1&gt;0,$P$1=0),#REF!&amp;$A$1&amp;$AA$29&amp;$U$2&amp;$K$1, "")</f>
        <v>#REF!</v>
      </c>
    </row>
    <row r="39" spans="1:25">
      <c r="A39" s="684">
        <v>27</v>
      </c>
      <c r="B39" s="685" t="s">
        <v>394</v>
      </c>
      <c r="C39" s="677"/>
      <c r="D39" s="678"/>
      <c r="E39" s="700"/>
      <c r="F39" s="684">
        <v>27</v>
      </c>
      <c r="G39" s="685" t="s">
        <v>394</v>
      </c>
      <c r="H39" s="677"/>
      <c r="I39" s="678"/>
      <c r="K39" s="684">
        <v>27</v>
      </c>
      <c r="L39" s="685" t="s">
        <v>394</v>
      </c>
      <c r="M39" s="677"/>
      <c r="N39" s="678"/>
      <c r="P39" s="684">
        <v>27</v>
      </c>
      <c r="Q39" s="685" t="s">
        <v>394</v>
      </c>
      <c r="R39" s="677"/>
      <c r="S39" s="678"/>
      <c r="T39" s="702" t="e">
        <f t="shared" si="5"/>
        <v>#REF!</v>
      </c>
      <c r="U39" s="694">
        <v>1</v>
      </c>
      <c r="V39" s="694">
        <v>0</v>
      </c>
      <c r="W39" s="694">
        <v>1</v>
      </c>
      <c r="X39" s="694">
        <v>1</v>
      </c>
      <c r="Y39" s="704" t="e">
        <f>IF(AND($A$1&gt;0,$F$1=0,$K$1&gt;0,$P$1&gt;0),#REF!&amp;$A$1&amp;$AA$29&amp;$U$2&amp;$K$1&amp;$AA$29&amp;$U$3&amp;$P$1&amp;$AA$30, "")</f>
        <v>#REF!</v>
      </c>
    </row>
    <row r="40" spans="1:25">
      <c r="A40" s="684">
        <v>28</v>
      </c>
      <c r="B40" s="685" t="s">
        <v>395</v>
      </c>
      <c r="C40" s="677"/>
      <c r="D40" s="678"/>
      <c r="E40" s="700"/>
      <c r="F40" s="684">
        <v>28</v>
      </c>
      <c r="G40" s="685" t="s">
        <v>395</v>
      </c>
      <c r="H40" s="677"/>
      <c r="I40" s="678"/>
      <c r="K40" s="684">
        <v>28</v>
      </c>
      <c r="L40" s="685" t="s">
        <v>395</v>
      </c>
      <c r="M40" s="677"/>
      <c r="N40" s="678"/>
      <c r="P40" s="684">
        <v>28</v>
      </c>
      <c r="Q40" s="685" t="s">
        <v>395</v>
      </c>
      <c r="R40" s="677"/>
      <c r="S40" s="678"/>
      <c r="T40" s="702" t="e">
        <f t="shared" si="5"/>
        <v>#REF!</v>
      </c>
      <c r="U40" s="694">
        <v>1</v>
      </c>
      <c r="V40" s="694">
        <v>1</v>
      </c>
      <c r="W40" s="694">
        <v>0</v>
      </c>
      <c r="X40" s="694">
        <v>0</v>
      </c>
      <c r="Y40" s="704" t="e">
        <f>IF(AND($A$1&gt;0,$F$1&gt;0,$K$1=0,$P$1=0),#REF!&amp;$A$1&amp;$AA$29&amp;$U$1&amp;$F$1, "")</f>
        <v>#REF!</v>
      </c>
    </row>
    <row r="41" spans="1:25">
      <c r="A41" s="684">
        <v>29</v>
      </c>
      <c r="B41" s="685" t="s">
        <v>396</v>
      </c>
      <c r="C41" s="677"/>
      <c r="D41" s="678"/>
      <c r="E41" s="700"/>
      <c r="F41" s="684">
        <v>29</v>
      </c>
      <c r="G41" s="685" t="s">
        <v>396</v>
      </c>
      <c r="H41" s="677"/>
      <c r="I41" s="678"/>
      <c r="K41" s="684">
        <v>29</v>
      </c>
      <c r="L41" s="685" t="s">
        <v>396</v>
      </c>
      <c r="M41" s="677"/>
      <c r="N41" s="678"/>
      <c r="P41" s="684">
        <v>29</v>
      </c>
      <c r="Q41" s="685" t="s">
        <v>396</v>
      </c>
      <c r="R41" s="677"/>
      <c r="S41" s="678"/>
      <c r="T41" s="702" t="e">
        <f t="shared" si="5"/>
        <v>#REF!</v>
      </c>
      <c r="U41" s="694">
        <v>1</v>
      </c>
      <c r="V41" s="694">
        <v>1</v>
      </c>
      <c r="W41" s="694">
        <v>0</v>
      </c>
      <c r="X41" s="694">
        <v>1</v>
      </c>
      <c r="Y41" s="704" t="e">
        <f>IF(AND($A$1&gt;0,$F$1&gt;0,$K$1=0,$P$1&gt;0),#REF!&amp;$A$1&amp;$AA$29&amp;$U$1&amp;$F$1&amp;$AA$29&amp;$U$3&amp;$P$1&amp;$AA$30, "")</f>
        <v>#REF!</v>
      </c>
    </row>
    <row r="42" spans="1:25">
      <c r="A42" s="684">
        <v>30</v>
      </c>
      <c r="B42" s="685" t="s">
        <v>397</v>
      </c>
      <c r="C42" s="677"/>
      <c r="D42" s="678"/>
      <c r="E42" s="700"/>
      <c r="F42" s="684">
        <v>30</v>
      </c>
      <c r="G42" s="685" t="s">
        <v>397</v>
      </c>
      <c r="H42" s="677"/>
      <c r="I42" s="678"/>
      <c r="K42" s="684">
        <v>30</v>
      </c>
      <c r="L42" s="685" t="s">
        <v>397</v>
      </c>
      <c r="M42" s="677"/>
      <c r="N42" s="678"/>
      <c r="P42" s="684">
        <v>30</v>
      </c>
      <c r="Q42" s="685" t="s">
        <v>397</v>
      </c>
      <c r="R42" s="677"/>
      <c r="S42" s="678"/>
      <c r="T42" s="702" t="e">
        <f t="shared" si="5"/>
        <v>#REF!</v>
      </c>
      <c r="U42" s="694">
        <v>1</v>
      </c>
      <c r="V42" s="694">
        <v>1</v>
      </c>
      <c r="W42" s="694">
        <v>1</v>
      </c>
      <c r="X42" s="694">
        <v>0</v>
      </c>
      <c r="Y42" s="704" t="e">
        <f>IF(AND($A$1&gt;0,$F$1&gt;0,$K$1&gt;0,$P$1=0),#REF!&amp;$A$1&amp;$AA$29&amp;$U$1&amp;$F$1&amp;$AA$29&amp;$U$2&amp;$K$1, "")</f>
        <v>#REF!</v>
      </c>
    </row>
    <row r="43" spans="1:25">
      <c r="A43" s="684">
        <v>31</v>
      </c>
      <c r="B43" s="685" t="s">
        <v>398</v>
      </c>
      <c r="C43" s="677"/>
      <c r="D43" s="678"/>
      <c r="E43" s="700"/>
      <c r="F43" s="684">
        <v>31</v>
      </c>
      <c r="G43" s="685" t="s">
        <v>398</v>
      </c>
      <c r="H43" s="677"/>
      <c r="I43" s="678"/>
      <c r="K43" s="684">
        <v>31</v>
      </c>
      <c r="L43" s="685" t="s">
        <v>398</v>
      </c>
      <c r="M43" s="677"/>
      <c r="N43" s="678"/>
      <c r="P43" s="684">
        <v>31</v>
      </c>
      <c r="Q43" s="685" t="s">
        <v>398</v>
      </c>
      <c r="R43" s="677"/>
      <c r="S43" s="678"/>
      <c r="T43" s="702" t="e">
        <f t="shared" si="5"/>
        <v>#REF!</v>
      </c>
      <c r="U43" s="694">
        <v>1</v>
      </c>
      <c r="V43" s="694">
        <v>1</v>
      </c>
      <c r="W43" s="694">
        <v>1</v>
      </c>
      <c r="X43" s="694">
        <v>1</v>
      </c>
      <c r="Y43" s="705" t="e">
        <f>IF(AND($A$1&gt;0,$F$1&gt;0,$K$1&gt;0,$P$1&gt;0),#REF!&amp;$A$1&amp;$AA$29&amp;$U$1&amp;$F$1&amp;$AA$29&amp;$U$2&amp;$K$1&amp;$AA$29&amp;$U$3&amp;$P$1&amp;$AA$30, "")</f>
        <v>#REF!</v>
      </c>
    </row>
    <row r="44" spans="1:25">
      <c r="A44" s="684">
        <v>32</v>
      </c>
      <c r="B44" s="685" t="s">
        <v>399</v>
      </c>
      <c r="C44" s="677"/>
      <c r="D44" s="678"/>
      <c r="E44" s="700"/>
      <c r="F44" s="684">
        <v>32</v>
      </c>
      <c r="G44" s="685" t="s">
        <v>399</v>
      </c>
      <c r="H44" s="677"/>
      <c r="I44" s="678"/>
      <c r="K44" s="684">
        <v>32</v>
      </c>
      <c r="L44" s="685" t="s">
        <v>399</v>
      </c>
      <c r="M44" s="677"/>
      <c r="N44" s="678"/>
      <c r="P44" s="684">
        <v>32</v>
      </c>
      <c r="Q44" s="685" t="s">
        <v>399</v>
      </c>
      <c r="R44" s="677"/>
      <c r="S44" s="678"/>
    </row>
    <row r="45" spans="1:25">
      <c r="A45" s="684">
        <v>33</v>
      </c>
      <c r="B45" s="685" t="s">
        <v>400</v>
      </c>
      <c r="C45" s="677"/>
      <c r="D45" s="678"/>
      <c r="E45" s="700"/>
      <c r="F45" s="684">
        <v>33</v>
      </c>
      <c r="G45" s="685" t="s">
        <v>400</v>
      </c>
      <c r="H45" s="677"/>
      <c r="I45" s="678"/>
      <c r="K45" s="684">
        <v>33</v>
      </c>
      <c r="L45" s="685" t="s">
        <v>400</v>
      </c>
      <c r="M45" s="677"/>
      <c r="N45" s="678"/>
      <c r="P45" s="684">
        <v>33</v>
      </c>
      <c r="Q45" s="685" t="s">
        <v>400</v>
      </c>
      <c r="R45" s="677"/>
      <c r="S45" s="678"/>
    </row>
    <row r="46" spans="1:25">
      <c r="A46" s="684">
        <v>34</v>
      </c>
      <c r="B46" s="685" t="s">
        <v>401</v>
      </c>
      <c r="C46" s="677"/>
      <c r="D46" s="678"/>
      <c r="E46" s="700"/>
      <c r="F46" s="684">
        <v>34</v>
      </c>
      <c r="G46" s="685" t="s">
        <v>401</v>
      </c>
      <c r="H46" s="677"/>
      <c r="I46" s="678"/>
      <c r="K46" s="684">
        <v>34</v>
      </c>
      <c r="L46" s="685" t="s">
        <v>401</v>
      </c>
      <c r="M46" s="677"/>
      <c r="N46" s="678"/>
      <c r="P46" s="684">
        <v>34</v>
      </c>
      <c r="Q46" s="685" t="s">
        <v>401</v>
      </c>
      <c r="R46" s="677"/>
      <c r="S46" s="678"/>
    </row>
    <row r="47" spans="1:25">
      <c r="A47" s="684">
        <v>35</v>
      </c>
      <c r="B47" s="685" t="s">
        <v>402</v>
      </c>
      <c r="C47" s="677"/>
      <c r="D47" s="678"/>
      <c r="E47" s="700"/>
      <c r="F47" s="684">
        <v>35</v>
      </c>
      <c r="G47" s="685" t="s">
        <v>402</v>
      </c>
      <c r="H47" s="677"/>
      <c r="I47" s="678"/>
      <c r="K47" s="684">
        <v>35</v>
      </c>
      <c r="L47" s="685" t="s">
        <v>402</v>
      </c>
      <c r="M47" s="677"/>
      <c r="N47" s="678"/>
      <c r="P47" s="684">
        <v>35</v>
      </c>
      <c r="Q47" s="685" t="s">
        <v>402</v>
      </c>
      <c r="R47" s="677"/>
      <c r="S47" s="678"/>
    </row>
    <row r="48" spans="1:25">
      <c r="A48" s="684">
        <v>36</v>
      </c>
      <c r="B48" s="685" t="s">
        <v>403</v>
      </c>
      <c r="C48" s="677"/>
      <c r="D48" s="678"/>
      <c r="E48" s="700"/>
      <c r="F48" s="684">
        <v>36</v>
      </c>
      <c r="G48" s="685" t="s">
        <v>403</v>
      </c>
      <c r="H48" s="677"/>
      <c r="I48" s="678"/>
      <c r="K48" s="684">
        <v>36</v>
      </c>
      <c r="L48" s="685" t="s">
        <v>403</v>
      </c>
      <c r="M48" s="677"/>
      <c r="N48" s="678"/>
      <c r="P48" s="684">
        <v>36</v>
      </c>
      <c r="Q48" s="685" t="s">
        <v>403</v>
      </c>
      <c r="R48" s="677"/>
      <c r="S48" s="678"/>
    </row>
    <row r="49" spans="1:19">
      <c r="A49" s="684">
        <v>37</v>
      </c>
      <c r="B49" s="685" t="s">
        <v>404</v>
      </c>
      <c r="C49" s="677"/>
      <c r="D49" s="678"/>
      <c r="E49" s="700"/>
      <c r="F49" s="684">
        <v>37</v>
      </c>
      <c r="G49" s="685" t="s">
        <v>404</v>
      </c>
      <c r="H49" s="677"/>
      <c r="I49" s="678"/>
      <c r="K49" s="684">
        <v>37</v>
      </c>
      <c r="L49" s="685" t="s">
        <v>404</v>
      </c>
      <c r="M49" s="677"/>
      <c r="N49" s="678"/>
      <c r="P49" s="684">
        <v>37</v>
      </c>
      <c r="Q49" s="685" t="s">
        <v>404</v>
      </c>
      <c r="R49" s="677"/>
      <c r="S49" s="678"/>
    </row>
    <row r="50" spans="1:19">
      <c r="A50" s="684">
        <v>38</v>
      </c>
      <c r="B50" s="685" t="s">
        <v>405</v>
      </c>
      <c r="C50" s="677"/>
      <c r="D50" s="678"/>
      <c r="E50" s="700"/>
      <c r="F50" s="684">
        <v>38</v>
      </c>
      <c r="G50" s="685" t="s">
        <v>405</v>
      </c>
      <c r="H50" s="677"/>
      <c r="I50" s="678"/>
      <c r="K50" s="684">
        <v>38</v>
      </c>
      <c r="L50" s="685" t="s">
        <v>405</v>
      </c>
      <c r="M50" s="677"/>
      <c r="N50" s="678"/>
      <c r="P50" s="684">
        <v>38</v>
      </c>
      <c r="Q50" s="685" t="s">
        <v>405</v>
      </c>
      <c r="R50" s="677"/>
      <c r="S50" s="678"/>
    </row>
    <row r="51" spans="1:19">
      <c r="A51" s="684">
        <v>39</v>
      </c>
      <c r="B51" s="685" t="s">
        <v>406</v>
      </c>
      <c r="C51" s="677"/>
      <c r="D51" s="678"/>
      <c r="E51" s="700"/>
      <c r="F51" s="684">
        <v>39</v>
      </c>
      <c r="G51" s="685" t="s">
        <v>406</v>
      </c>
      <c r="H51" s="677"/>
      <c r="I51" s="678"/>
      <c r="K51" s="684">
        <v>39</v>
      </c>
      <c r="L51" s="685" t="s">
        <v>406</v>
      </c>
      <c r="M51" s="677"/>
      <c r="N51" s="678"/>
      <c r="P51" s="684">
        <v>39</v>
      </c>
      <c r="Q51" s="685" t="s">
        <v>406</v>
      </c>
      <c r="R51" s="677"/>
      <c r="S51" s="678"/>
    </row>
    <row r="52" spans="1:19">
      <c r="A52" s="684">
        <v>40</v>
      </c>
      <c r="B52" s="685" t="s">
        <v>407</v>
      </c>
      <c r="C52" s="677"/>
      <c r="D52" s="678"/>
      <c r="E52" s="700"/>
      <c r="F52" s="684">
        <v>40</v>
      </c>
      <c r="G52" s="685" t="s">
        <v>407</v>
      </c>
      <c r="H52" s="677"/>
      <c r="I52" s="678"/>
      <c r="K52" s="684">
        <v>40</v>
      </c>
      <c r="L52" s="685" t="s">
        <v>407</v>
      </c>
      <c r="M52" s="677"/>
      <c r="N52" s="678"/>
      <c r="P52" s="684">
        <v>40</v>
      </c>
      <c r="Q52" s="685" t="s">
        <v>407</v>
      </c>
      <c r="R52" s="677"/>
      <c r="S52" s="678"/>
    </row>
    <row r="53" spans="1:19">
      <c r="A53" s="684">
        <v>41</v>
      </c>
      <c r="B53" s="685" t="s">
        <v>408</v>
      </c>
      <c r="C53" s="677"/>
      <c r="D53" s="678"/>
      <c r="E53" s="700"/>
      <c r="F53" s="684">
        <v>41</v>
      </c>
      <c r="G53" s="685" t="s">
        <v>408</v>
      </c>
      <c r="H53" s="677"/>
      <c r="I53" s="678"/>
      <c r="K53" s="684">
        <v>41</v>
      </c>
      <c r="L53" s="685" t="s">
        <v>408</v>
      </c>
      <c r="M53" s="677"/>
      <c r="N53" s="678"/>
      <c r="P53" s="684">
        <v>41</v>
      </c>
      <c r="Q53" s="685" t="s">
        <v>408</v>
      </c>
      <c r="R53" s="677"/>
      <c r="S53" s="678"/>
    </row>
    <row r="54" spans="1:19">
      <c r="A54" s="684">
        <v>42</v>
      </c>
      <c r="B54" s="685" t="s">
        <v>409</v>
      </c>
      <c r="C54" s="677"/>
      <c r="D54" s="678"/>
      <c r="E54" s="700"/>
      <c r="F54" s="684">
        <v>42</v>
      </c>
      <c r="G54" s="685" t="s">
        <v>409</v>
      </c>
      <c r="H54" s="677"/>
      <c r="I54" s="678"/>
      <c r="K54" s="684">
        <v>42</v>
      </c>
      <c r="L54" s="685" t="s">
        <v>409</v>
      </c>
      <c r="M54" s="677"/>
      <c r="N54" s="678"/>
      <c r="P54" s="684">
        <v>42</v>
      </c>
      <c r="Q54" s="685" t="s">
        <v>409</v>
      </c>
      <c r="R54" s="677"/>
      <c r="S54" s="678"/>
    </row>
    <row r="55" spans="1:19">
      <c r="A55" s="684">
        <v>43</v>
      </c>
      <c r="B55" s="685" t="s">
        <v>410</v>
      </c>
      <c r="C55" s="677"/>
      <c r="D55" s="678"/>
      <c r="E55" s="700"/>
      <c r="F55" s="684">
        <v>43</v>
      </c>
      <c r="G55" s="685" t="s">
        <v>410</v>
      </c>
      <c r="H55" s="677"/>
      <c r="I55" s="678"/>
      <c r="K55" s="684">
        <v>43</v>
      </c>
      <c r="L55" s="685" t="s">
        <v>410</v>
      </c>
      <c r="M55" s="677"/>
      <c r="N55" s="678"/>
      <c r="P55" s="684">
        <v>43</v>
      </c>
      <c r="Q55" s="685" t="s">
        <v>410</v>
      </c>
      <c r="R55" s="677"/>
      <c r="S55" s="678"/>
    </row>
    <row r="56" spans="1:19">
      <c r="A56" s="684">
        <v>44</v>
      </c>
      <c r="B56" s="685" t="s">
        <v>411</v>
      </c>
      <c r="C56" s="677"/>
      <c r="D56" s="678"/>
      <c r="E56" s="700"/>
      <c r="F56" s="684">
        <v>44</v>
      </c>
      <c r="G56" s="685" t="s">
        <v>411</v>
      </c>
      <c r="H56" s="677"/>
      <c r="I56" s="678"/>
      <c r="K56" s="684">
        <v>44</v>
      </c>
      <c r="L56" s="685" t="s">
        <v>411</v>
      </c>
      <c r="M56" s="677"/>
      <c r="N56" s="678"/>
      <c r="P56" s="684">
        <v>44</v>
      </c>
      <c r="Q56" s="685" t="s">
        <v>411</v>
      </c>
      <c r="R56" s="677"/>
      <c r="S56" s="678"/>
    </row>
    <row r="57" spans="1:19">
      <c r="A57" s="684">
        <v>45</v>
      </c>
      <c r="B57" s="685" t="s">
        <v>412</v>
      </c>
      <c r="C57" s="677"/>
      <c r="D57" s="678"/>
      <c r="E57" s="700"/>
      <c r="F57" s="684">
        <v>45</v>
      </c>
      <c r="G57" s="685" t="s">
        <v>412</v>
      </c>
      <c r="H57" s="677"/>
      <c r="I57" s="678"/>
      <c r="K57" s="684">
        <v>45</v>
      </c>
      <c r="L57" s="685" t="s">
        <v>412</v>
      </c>
      <c r="M57" s="677"/>
      <c r="N57" s="678"/>
      <c r="P57" s="684">
        <v>45</v>
      </c>
      <c r="Q57" s="685" t="s">
        <v>412</v>
      </c>
      <c r="R57" s="677"/>
      <c r="S57" s="678"/>
    </row>
    <row r="58" spans="1:19">
      <c r="A58" s="684">
        <v>46</v>
      </c>
      <c r="B58" s="685" t="s">
        <v>413</v>
      </c>
      <c r="C58" s="677"/>
      <c r="D58" s="678"/>
      <c r="E58" s="700"/>
      <c r="F58" s="684">
        <v>46</v>
      </c>
      <c r="G58" s="685" t="s">
        <v>413</v>
      </c>
      <c r="H58" s="677"/>
      <c r="I58" s="678"/>
      <c r="K58" s="684">
        <v>46</v>
      </c>
      <c r="L58" s="685" t="s">
        <v>413</v>
      </c>
      <c r="M58" s="677"/>
      <c r="N58" s="678"/>
      <c r="P58" s="684">
        <v>46</v>
      </c>
      <c r="Q58" s="685" t="s">
        <v>413</v>
      </c>
      <c r="R58" s="677"/>
      <c r="S58" s="678"/>
    </row>
    <row r="59" spans="1:19">
      <c r="A59" s="684">
        <v>47</v>
      </c>
      <c r="B59" s="685" t="s">
        <v>414</v>
      </c>
      <c r="C59" s="677"/>
      <c r="D59" s="678"/>
      <c r="E59" s="700"/>
      <c r="F59" s="684">
        <v>47</v>
      </c>
      <c r="G59" s="685" t="s">
        <v>414</v>
      </c>
      <c r="H59" s="677"/>
      <c r="I59" s="678"/>
      <c r="K59" s="684">
        <v>47</v>
      </c>
      <c r="L59" s="685" t="s">
        <v>414</v>
      </c>
      <c r="M59" s="677"/>
      <c r="N59" s="678"/>
      <c r="P59" s="684">
        <v>47</v>
      </c>
      <c r="Q59" s="685" t="s">
        <v>414</v>
      </c>
      <c r="R59" s="677"/>
      <c r="S59" s="678"/>
    </row>
    <row r="60" spans="1:19">
      <c r="A60" s="684">
        <v>48</v>
      </c>
      <c r="B60" s="685" t="s">
        <v>415</v>
      </c>
      <c r="C60" s="677"/>
      <c r="D60" s="678"/>
      <c r="E60" s="700"/>
      <c r="F60" s="684">
        <v>48</v>
      </c>
      <c r="G60" s="685" t="s">
        <v>415</v>
      </c>
      <c r="H60" s="677"/>
      <c r="I60" s="678"/>
      <c r="K60" s="684">
        <v>48</v>
      </c>
      <c r="L60" s="685" t="s">
        <v>415</v>
      </c>
      <c r="M60" s="677"/>
      <c r="N60" s="678"/>
      <c r="P60" s="684">
        <v>48</v>
      </c>
      <c r="Q60" s="685" t="s">
        <v>415</v>
      </c>
      <c r="R60" s="677"/>
      <c r="S60" s="678"/>
    </row>
    <row r="61" spans="1:19">
      <c r="A61" s="684">
        <v>49</v>
      </c>
      <c r="B61" s="685" t="s">
        <v>416</v>
      </c>
      <c r="C61" s="677"/>
      <c r="D61" s="678"/>
      <c r="E61" s="700"/>
      <c r="F61" s="684">
        <v>49</v>
      </c>
      <c r="G61" s="685" t="s">
        <v>416</v>
      </c>
      <c r="H61" s="677"/>
      <c r="I61" s="678"/>
      <c r="K61" s="684">
        <v>49</v>
      </c>
      <c r="L61" s="685" t="s">
        <v>416</v>
      </c>
      <c r="M61" s="677"/>
      <c r="N61" s="678"/>
      <c r="P61" s="684">
        <v>49</v>
      </c>
      <c r="Q61" s="685" t="s">
        <v>416</v>
      </c>
      <c r="R61" s="677"/>
      <c r="S61" s="678"/>
    </row>
    <row r="62" spans="1:19">
      <c r="A62" s="684">
        <v>50</v>
      </c>
      <c r="B62" s="685" t="s">
        <v>417</v>
      </c>
      <c r="C62" s="677"/>
      <c r="D62" s="678"/>
      <c r="E62" s="700"/>
      <c r="F62" s="684">
        <v>50</v>
      </c>
      <c r="G62" s="685" t="s">
        <v>417</v>
      </c>
      <c r="H62" s="677"/>
      <c r="I62" s="678"/>
      <c r="K62" s="684">
        <v>50</v>
      </c>
      <c r="L62" s="685" t="s">
        <v>417</v>
      </c>
      <c r="M62" s="677"/>
      <c r="N62" s="678"/>
      <c r="P62" s="684">
        <v>50</v>
      </c>
      <c r="Q62" s="685" t="s">
        <v>417</v>
      </c>
      <c r="R62" s="677"/>
      <c r="S62" s="678"/>
    </row>
    <row r="63" spans="1:19">
      <c r="A63" s="684">
        <v>51</v>
      </c>
      <c r="B63" s="685" t="s">
        <v>418</v>
      </c>
      <c r="C63" s="677"/>
      <c r="D63" s="678"/>
      <c r="E63" s="700"/>
      <c r="F63" s="684">
        <v>51</v>
      </c>
      <c r="G63" s="685" t="s">
        <v>418</v>
      </c>
      <c r="H63" s="677"/>
      <c r="I63" s="678"/>
      <c r="K63" s="684">
        <v>51</v>
      </c>
      <c r="L63" s="685" t="s">
        <v>418</v>
      </c>
      <c r="M63" s="677"/>
      <c r="N63" s="678"/>
      <c r="P63" s="684">
        <v>51</v>
      </c>
      <c r="Q63" s="685" t="s">
        <v>418</v>
      </c>
      <c r="R63" s="677"/>
      <c r="S63" s="678"/>
    </row>
    <row r="64" spans="1:19">
      <c r="A64" s="684">
        <v>52</v>
      </c>
      <c r="B64" s="685" t="s">
        <v>419</v>
      </c>
      <c r="C64" s="677"/>
      <c r="D64" s="678"/>
      <c r="E64" s="700"/>
      <c r="F64" s="684">
        <v>52</v>
      </c>
      <c r="G64" s="685" t="s">
        <v>419</v>
      </c>
      <c r="H64" s="677"/>
      <c r="I64" s="678"/>
      <c r="K64" s="684">
        <v>52</v>
      </c>
      <c r="L64" s="685" t="s">
        <v>419</v>
      </c>
      <c r="M64" s="677"/>
      <c r="N64" s="678"/>
      <c r="P64" s="684">
        <v>52</v>
      </c>
      <c r="Q64" s="685" t="s">
        <v>419</v>
      </c>
      <c r="R64" s="677"/>
      <c r="S64" s="678"/>
    </row>
    <row r="65" spans="1:19">
      <c r="A65" s="684">
        <v>53</v>
      </c>
      <c r="B65" s="685" t="s">
        <v>420</v>
      </c>
      <c r="C65" s="677"/>
      <c r="D65" s="678"/>
      <c r="E65" s="700"/>
      <c r="F65" s="684">
        <v>53</v>
      </c>
      <c r="G65" s="685" t="s">
        <v>420</v>
      </c>
      <c r="H65" s="677"/>
      <c r="I65" s="678"/>
      <c r="K65" s="684">
        <v>53</v>
      </c>
      <c r="L65" s="685" t="s">
        <v>420</v>
      </c>
      <c r="M65" s="677"/>
      <c r="N65" s="678"/>
      <c r="P65" s="684">
        <v>53</v>
      </c>
      <c r="Q65" s="685" t="s">
        <v>420</v>
      </c>
      <c r="R65" s="677"/>
      <c r="S65" s="678"/>
    </row>
    <row r="66" spans="1:19">
      <c r="A66" s="684">
        <v>54</v>
      </c>
      <c r="B66" s="685" t="s">
        <v>421</v>
      </c>
      <c r="C66" s="677"/>
      <c r="D66" s="678"/>
      <c r="E66" s="700"/>
      <c r="F66" s="684">
        <v>54</v>
      </c>
      <c r="G66" s="685" t="s">
        <v>421</v>
      </c>
      <c r="H66" s="677"/>
      <c r="I66" s="678"/>
      <c r="K66" s="684">
        <v>54</v>
      </c>
      <c r="L66" s="685" t="s">
        <v>421</v>
      </c>
      <c r="M66" s="677"/>
      <c r="N66" s="678"/>
      <c r="P66" s="684">
        <v>54</v>
      </c>
      <c r="Q66" s="685" t="s">
        <v>421</v>
      </c>
      <c r="R66" s="677"/>
      <c r="S66" s="678"/>
    </row>
    <row r="67" spans="1:19">
      <c r="A67" s="684">
        <v>55</v>
      </c>
      <c r="B67" s="685" t="s">
        <v>422</v>
      </c>
      <c r="C67" s="677"/>
      <c r="D67" s="678"/>
      <c r="E67" s="700"/>
      <c r="F67" s="684">
        <v>55</v>
      </c>
      <c r="G67" s="685" t="s">
        <v>422</v>
      </c>
      <c r="H67" s="677"/>
      <c r="I67" s="678"/>
      <c r="K67" s="684">
        <v>55</v>
      </c>
      <c r="L67" s="685" t="s">
        <v>422</v>
      </c>
      <c r="M67" s="677"/>
      <c r="N67" s="678"/>
      <c r="P67" s="684">
        <v>55</v>
      </c>
      <c r="Q67" s="685" t="s">
        <v>422</v>
      </c>
      <c r="R67" s="677"/>
      <c r="S67" s="678"/>
    </row>
    <row r="68" spans="1:19">
      <c r="A68" s="684">
        <v>56</v>
      </c>
      <c r="B68" s="685" t="s">
        <v>423</v>
      </c>
      <c r="C68" s="677"/>
      <c r="D68" s="678"/>
      <c r="E68" s="700"/>
      <c r="F68" s="684">
        <v>56</v>
      </c>
      <c r="G68" s="685" t="s">
        <v>423</v>
      </c>
      <c r="H68" s="677"/>
      <c r="I68" s="678"/>
      <c r="K68" s="684">
        <v>56</v>
      </c>
      <c r="L68" s="685" t="s">
        <v>423</v>
      </c>
      <c r="M68" s="677"/>
      <c r="N68" s="678"/>
      <c r="P68" s="684">
        <v>56</v>
      </c>
      <c r="Q68" s="685" t="s">
        <v>423</v>
      </c>
      <c r="R68" s="677"/>
      <c r="S68" s="678"/>
    </row>
    <row r="69" spans="1:19">
      <c r="A69" s="684">
        <v>57</v>
      </c>
      <c r="B69" s="685" t="s">
        <v>424</v>
      </c>
      <c r="C69" s="677"/>
      <c r="D69" s="678"/>
      <c r="E69" s="700"/>
      <c r="F69" s="684">
        <v>57</v>
      </c>
      <c r="G69" s="685" t="s">
        <v>424</v>
      </c>
      <c r="H69" s="677"/>
      <c r="I69" s="678"/>
      <c r="K69" s="684">
        <v>57</v>
      </c>
      <c r="L69" s="685" t="s">
        <v>424</v>
      </c>
      <c r="M69" s="677"/>
      <c r="N69" s="678"/>
      <c r="P69" s="684">
        <v>57</v>
      </c>
      <c r="Q69" s="685" t="s">
        <v>424</v>
      </c>
      <c r="R69" s="677"/>
      <c r="S69" s="678"/>
    </row>
    <row r="70" spans="1:19">
      <c r="A70" s="684">
        <v>58</v>
      </c>
      <c r="B70" s="685" t="s">
        <v>425</v>
      </c>
      <c r="C70" s="677"/>
      <c r="D70" s="678"/>
      <c r="E70" s="700"/>
      <c r="F70" s="684">
        <v>58</v>
      </c>
      <c r="G70" s="685" t="s">
        <v>425</v>
      </c>
      <c r="H70" s="677"/>
      <c r="I70" s="678"/>
      <c r="K70" s="684">
        <v>58</v>
      </c>
      <c r="L70" s="685" t="s">
        <v>425</v>
      </c>
      <c r="M70" s="677"/>
      <c r="N70" s="678"/>
      <c r="P70" s="684">
        <v>58</v>
      </c>
      <c r="Q70" s="685" t="s">
        <v>425</v>
      </c>
      <c r="R70" s="677"/>
      <c r="S70" s="678"/>
    </row>
    <row r="71" spans="1:19">
      <c r="A71" s="684">
        <v>59</v>
      </c>
      <c r="B71" s="685" t="s">
        <v>426</v>
      </c>
      <c r="C71" s="677"/>
      <c r="D71" s="678"/>
      <c r="E71" s="700"/>
      <c r="F71" s="684">
        <v>59</v>
      </c>
      <c r="G71" s="685" t="s">
        <v>426</v>
      </c>
      <c r="H71" s="677"/>
      <c r="I71" s="678"/>
      <c r="K71" s="684">
        <v>59</v>
      </c>
      <c r="L71" s="685" t="s">
        <v>426</v>
      </c>
      <c r="M71" s="677"/>
      <c r="N71" s="678"/>
      <c r="P71" s="684">
        <v>59</v>
      </c>
      <c r="Q71" s="685" t="s">
        <v>426</v>
      </c>
      <c r="R71" s="677"/>
      <c r="S71" s="678"/>
    </row>
    <row r="72" spans="1:19">
      <c r="A72" s="684">
        <v>60</v>
      </c>
      <c r="B72" s="685" t="s">
        <v>427</v>
      </c>
      <c r="C72" s="677"/>
      <c r="D72" s="678"/>
      <c r="E72" s="700"/>
      <c r="F72" s="684">
        <v>60</v>
      </c>
      <c r="G72" s="685" t="s">
        <v>427</v>
      </c>
      <c r="H72" s="677"/>
      <c r="I72" s="678"/>
      <c r="K72" s="684">
        <v>60</v>
      </c>
      <c r="L72" s="685" t="s">
        <v>427</v>
      </c>
      <c r="M72" s="677"/>
      <c r="N72" s="678"/>
      <c r="P72" s="684">
        <v>60</v>
      </c>
      <c r="Q72" s="685" t="s">
        <v>427</v>
      </c>
      <c r="R72" s="677"/>
      <c r="S72" s="678"/>
    </row>
    <row r="73" spans="1:19">
      <c r="A73" s="684">
        <v>61</v>
      </c>
      <c r="B73" s="685" t="s">
        <v>428</v>
      </c>
      <c r="C73" s="677"/>
      <c r="D73" s="678"/>
      <c r="E73" s="700"/>
      <c r="F73" s="684">
        <v>61</v>
      </c>
      <c r="G73" s="685" t="s">
        <v>428</v>
      </c>
      <c r="H73" s="677"/>
      <c r="I73" s="678"/>
      <c r="K73" s="684">
        <v>61</v>
      </c>
      <c r="L73" s="685" t="s">
        <v>428</v>
      </c>
      <c r="M73" s="677"/>
      <c r="N73" s="678"/>
      <c r="P73" s="684">
        <v>61</v>
      </c>
      <c r="Q73" s="685" t="s">
        <v>428</v>
      </c>
      <c r="R73" s="677"/>
      <c r="S73" s="678"/>
    </row>
    <row r="74" spans="1:19">
      <c r="A74" s="684">
        <v>62</v>
      </c>
      <c r="B74" s="685" t="s">
        <v>429</v>
      </c>
      <c r="C74" s="677"/>
      <c r="D74" s="678"/>
      <c r="E74" s="700"/>
      <c r="F74" s="684">
        <v>62</v>
      </c>
      <c r="G74" s="685" t="s">
        <v>429</v>
      </c>
      <c r="H74" s="677"/>
      <c r="I74" s="678"/>
      <c r="K74" s="684">
        <v>62</v>
      </c>
      <c r="L74" s="685" t="s">
        <v>429</v>
      </c>
      <c r="M74" s="677"/>
      <c r="N74" s="678"/>
      <c r="P74" s="684">
        <v>62</v>
      </c>
      <c r="Q74" s="685" t="s">
        <v>429</v>
      </c>
      <c r="R74" s="677"/>
      <c r="S74" s="678"/>
    </row>
    <row r="75" spans="1:19">
      <c r="A75" s="684">
        <v>63</v>
      </c>
      <c r="B75" s="686" t="s">
        <v>430</v>
      </c>
      <c r="C75" s="677"/>
      <c r="D75" s="678"/>
      <c r="E75" s="700"/>
      <c r="F75" s="684">
        <v>63</v>
      </c>
      <c r="G75" s="686" t="s">
        <v>430</v>
      </c>
      <c r="H75" s="677"/>
      <c r="I75" s="678"/>
      <c r="K75" s="684">
        <v>63</v>
      </c>
      <c r="L75" s="686" t="s">
        <v>430</v>
      </c>
      <c r="M75" s="677"/>
      <c r="N75" s="678"/>
      <c r="P75" s="684">
        <v>63</v>
      </c>
      <c r="Q75" s="686" t="s">
        <v>430</v>
      </c>
      <c r="R75" s="677"/>
      <c r="S75" s="678"/>
    </row>
    <row r="76" spans="1:19">
      <c r="A76" s="684">
        <v>64</v>
      </c>
      <c r="B76" s="686" t="s">
        <v>431</v>
      </c>
      <c r="C76" s="677"/>
      <c r="D76" s="678"/>
      <c r="E76" s="700"/>
      <c r="F76" s="684">
        <v>64</v>
      </c>
      <c r="G76" s="686" t="s">
        <v>431</v>
      </c>
      <c r="H76" s="677"/>
      <c r="I76" s="678"/>
      <c r="K76" s="684">
        <v>64</v>
      </c>
      <c r="L76" s="686" t="s">
        <v>431</v>
      </c>
      <c r="M76" s="677"/>
      <c r="N76" s="678"/>
      <c r="P76" s="684">
        <v>64</v>
      </c>
      <c r="Q76" s="686" t="s">
        <v>431</v>
      </c>
      <c r="R76" s="677"/>
      <c r="S76" s="678"/>
    </row>
    <row r="77" spans="1:19">
      <c r="A77" s="684">
        <v>65</v>
      </c>
      <c r="B77" s="686" t="s">
        <v>432</v>
      </c>
      <c r="C77" s="677"/>
      <c r="D77" s="678"/>
      <c r="E77" s="700"/>
      <c r="F77" s="684">
        <v>65</v>
      </c>
      <c r="G77" s="686" t="s">
        <v>432</v>
      </c>
      <c r="H77" s="677"/>
      <c r="I77" s="678"/>
      <c r="K77" s="684">
        <v>65</v>
      </c>
      <c r="L77" s="686" t="s">
        <v>432</v>
      </c>
      <c r="M77" s="677"/>
      <c r="N77" s="678"/>
      <c r="P77" s="684">
        <v>65</v>
      </c>
      <c r="Q77" s="686" t="s">
        <v>432</v>
      </c>
      <c r="R77" s="677"/>
      <c r="S77" s="678"/>
    </row>
    <row r="78" spans="1:19">
      <c r="A78" s="684">
        <v>66</v>
      </c>
      <c r="B78" s="686" t="s">
        <v>433</v>
      </c>
      <c r="C78" s="677"/>
      <c r="D78" s="678"/>
      <c r="E78" s="700"/>
      <c r="F78" s="684">
        <v>66</v>
      </c>
      <c r="G78" s="686" t="s">
        <v>433</v>
      </c>
      <c r="H78" s="677"/>
      <c r="I78" s="678"/>
      <c r="K78" s="684">
        <v>66</v>
      </c>
      <c r="L78" s="686" t="s">
        <v>433</v>
      </c>
      <c r="M78" s="677"/>
      <c r="N78" s="678"/>
      <c r="P78" s="684">
        <v>66</v>
      </c>
      <c r="Q78" s="686" t="s">
        <v>433</v>
      </c>
      <c r="R78" s="677"/>
      <c r="S78" s="678"/>
    </row>
    <row r="79" spans="1:19">
      <c r="A79" s="684">
        <v>67</v>
      </c>
      <c r="B79" s="686" t="s">
        <v>434</v>
      </c>
      <c r="C79" s="677"/>
      <c r="D79" s="678"/>
      <c r="E79" s="700"/>
      <c r="F79" s="684">
        <v>67</v>
      </c>
      <c r="G79" s="686" t="s">
        <v>434</v>
      </c>
      <c r="H79" s="677"/>
      <c r="I79" s="678"/>
      <c r="K79" s="684">
        <v>67</v>
      </c>
      <c r="L79" s="686" t="s">
        <v>434</v>
      </c>
      <c r="M79" s="677"/>
      <c r="N79" s="678"/>
      <c r="P79" s="684">
        <v>67</v>
      </c>
      <c r="Q79" s="686" t="s">
        <v>434</v>
      </c>
      <c r="R79" s="677"/>
      <c r="S79" s="678"/>
    </row>
    <row r="80" spans="1:19">
      <c r="A80" s="684">
        <v>68</v>
      </c>
      <c r="B80" s="686" t="s">
        <v>435</v>
      </c>
      <c r="C80" s="677"/>
      <c r="D80" s="678"/>
      <c r="E80" s="700"/>
      <c r="F80" s="684">
        <v>68</v>
      </c>
      <c r="G80" s="686" t="s">
        <v>435</v>
      </c>
      <c r="H80" s="677"/>
      <c r="I80" s="678"/>
      <c r="K80" s="684">
        <v>68</v>
      </c>
      <c r="L80" s="686" t="s">
        <v>435</v>
      </c>
      <c r="M80" s="677"/>
      <c r="N80" s="678"/>
      <c r="P80" s="684">
        <v>68</v>
      </c>
      <c r="Q80" s="686" t="s">
        <v>435</v>
      </c>
      <c r="R80" s="677"/>
      <c r="S80" s="678"/>
    </row>
    <row r="81" spans="1:19">
      <c r="A81" s="684">
        <v>69</v>
      </c>
      <c r="B81" s="686" t="s">
        <v>436</v>
      </c>
      <c r="C81" s="677"/>
      <c r="D81" s="678"/>
      <c r="E81" s="700"/>
      <c r="F81" s="684">
        <v>69</v>
      </c>
      <c r="G81" s="686" t="s">
        <v>436</v>
      </c>
      <c r="H81" s="677"/>
      <c r="I81" s="678"/>
      <c r="K81" s="684">
        <v>69</v>
      </c>
      <c r="L81" s="686" t="s">
        <v>436</v>
      </c>
      <c r="M81" s="677"/>
      <c r="N81" s="678"/>
      <c r="P81" s="684">
        <v>69</v>
      </c>
      <c r="Q81" s="686" t="s">
        <v>436</v>
      </c>
      <c r="R81" s="677"/>
      <c r="S81" s="678"/>
    </row>
    <row r="82" spans="1:19">
      <c r="A82" s="684">
        <v>70</v>
      </c>
      <c r="B82" s="686" t="s">
        <v>437</v>
      </c>
      <c r="C82" s="677"/>
      <c r="D82" s="678"/>
      <c r="E82" s="700"/>
      <c r="F82" s="684">
        <v>70</v>
      </c>
      <c r="G82" s="686" t="s">
        <v>437</v>
      </c>
      <c r="H82" s="677"/>
      <c r="I82" s="678"/>
      <c r="K82" s="684">
        <v>70</v>
      </c>
      <c r="L82" s="686" t="s">
        <v>437</v>
      </c>
      <c r="M82" s="677"/>
      <c r="N82" s="678"/>
      <c r="P82" s="684">
        <v>70</v>
      </c>
      <c r="Q82" s="686" t="s">
        <v>437</v>
      </c>
      <c r="R82" s="677"/>
      <c r="S82" s="678"/>
    </row>
    <row r="83" spans="1:19">
      <c r="A83" s="684">
        <v>71</v>
      </c>
      <c r="B83" s="686" t="s">
        <v>438</v>
      </c>
      <c r="C83" s="677"/>
      <c r="D83" s="678"/>
      <c r="E83" s="700"/>
      <c r="F83" s="684">
        <v>71</v>
      </c>
      <c r="G83" s="686" t="s">
        <v>438</v>
      </c>
      <c r="H83" s="677"/>
      <c r="I83" s="678"/>
      <c r="K83" s="684">
        <v>71</v>
      </c>
      <c r="L83" s="686" t="s">
        <v>438</v>
      </c>
      <c r="M83" s="677"/>
      <c r="N83" s="678"/>
      <c r="P83" s="684">
        <v>71</v>
      </c>
      <c r="Q83" s="686" t="s">
        <v>438</v>
      </c>
      <c r="R83" s="677"/>
      <c r="S83" s="678"/>
    </row>
    <row r="84" spans="1:19">
      <c r="A84" s="684">
        <v>72</v>
      </c>
      <c r="B84" s="686" t="s">
        <v>439</v>
      </c>
      <c r="C84" s="677"/>
      <c r="D84" s="678"/>
      <c r="E84" s="700"/>
      <c r="F84" s="684">
        <v>72</v>
      </c>
      <c r="G84" s="686" t="s">
        <v>439</v>
      </c>
      <c r="H84" s="677"/>
      <c r="I84" s="678"/>
      <c r="K84" s="684">
        <v>72</v>
      </c>
      <c r="L84" s="686" t="s">
        <v>439</v>
      </c>
      <c r="M84" s="677"/>
      <c r="N84" s="678"/>
      <c r="P84" s="684">
        <v>72</v>
      </c>
      <c r="Q84" s="686" t="s">
        <v>439</v>
      </c>
      <c r="R84" s="677"/>
      <c r="S84" s="678"/>
    </row>
    <row r="85" spans="1:19">
      <c r="A85" s="684">
        <v>73</v>
      </c>
      <c r="B85" s="686" t="s">
        <v>440</v>
      </c>
      <c r="C85" s="677"/>
      <c r="D85" s="678"/>
      <c r="E85" s="700"/>
      <c r="F85" s="684">
        <v>73</v>
      </c>
      <c r="G85" s="686" t="s">
        <v>440</v>
      </c>
      <c r="H85" s="677"/>
      <c r="I85" s="678"/>
      <c r="K85" s="684">
        <v>73</v>
      </c>
      <c r="L85" s="686" t="s">
        <v>440</v>
      </c>
      <c r="M85" s="677"/>
      <c r="N85" s="678"/>
      <c r="P85" s="684">
        <v>73</v>
      </c>
      <c r="Q85" s="686" t="s">
        <v>440</v>
      </c>
      <c r="R85" s="677"/>
      <c r="S85" s="678"/>
    </row>
    <row r="86" spans="1:19">
      <c r="A86" s="684">
        <v>74</v>
      </c>
      <c r="B86" s="686" t="s">
        <v>441</v>
      </c>
      <c r="C86" s="677"/>
      <c r="D86" s="678"/>
      <c r="E86" s="700"/>
      <c r="F86" s="684">
        <v>74</v>
      </c>
      <c r="G86" s="686" t="s">
        <v>441</v>
      </c>
      <c r="H86" s="677"/>
      <c r="I86" s="678"/>
      <c r="K86" s="684">
        <v>74</v>
      </c>
      <c r="L86" s="686" t="s">
        <v>441</v>
      </c>
      <c r="M86" s="677"/>
      <c r="N86" s="678"/>
      <c r="P86" s="684">
        <v>74</v>
      </c>
      <c r="Q86" s="686" t="s">
        <v>441</v>
      </c>
      <c r="R86" s="677"/>
      <c r="S86" s="678"/>
    </row>
    <row r="87" spans="1:19">
      <c r="A87" s="684">
        <v>75</v>
      </c>
      <c r="B87" s="686" t="s">
        <v>442</v>
      </c>
      <c r="C87" s="677"/>
      <c r="D87" s="678"/>
      <c r="E87" s="700"/>
      <c r="F87" s="684">
        <v>75</v>
      </c>
      <c r="G87" s="686" t="s">
        <v>442</v>
      </c>
      <c r="H87" s="677"/>
      <c r="I87" s="678"/>
      <c r="K87" s="684">
        <v>75</v>
      </c>
      <c r="L87" s="686" t="s">
        <v>442</v>
      </c>
      <c r="M87" s="677"/>
      <c r="N87" s="678"/>
      <c r="P87" s="684">
        <v>75</v>
      </c>
      <c r="Q87" s="686" t="s">
        <v>442</v>
      </c>
      <c r="R87" s="677"/>
      <c r="S87" s="678"/>
    </row>
    <row r="88" spans="1:19">
      <c r="A88" s="684">
        <v>76</v>
      </c>
      <c r="B88" s="686" t="s">
        <v>443</v>
      </c>
      <c r="C88" s="677"/>
      <c r="D88" s="678"/>
      <c r="E88" s="700"/>
      <c r="F88" s="684">
        <v>76</v>
      </c>
      <c r="G88" s="686" t="s">
        <v>443</v>
      </c>
      <c r="H88" s="677"/>
      <c r="I88" s="678"/>
      <c r="K88" s="684">
        <v>76</v>
      </c>
      <c r="L88" s="686" t="s">
        <v>443</v>
      </c>
      <c r="M88" s="677"/>
      <c r="N88" s="678"/>
      <c r="P88" s="684">
        <v>76</v>
      </c>
      <c r="Q88" s="686" t="s">
        <v>443</v>
      </c>
      <c r="R88" s="677"/>
      <c r="S88" s="678"/>
    </row>
    <row r="89" spans="1:19">
      <c r="A89" s="684">
        <v>77</v>
      </c>
      <c r="B89" s="686" t="s">
        <v>444</v>
      </c>
      <c r="C89" s="677"/>
      <c r="D89" s="678"/>
      <c r="E89" s="700"/>
      <c r="F89" s="684">
        <v>77</v>
      </c>
      <c r="G89" s="686" t="s">
        <v>444</v>
      </c>
      <c r="H89" s="677"/>
      <c r="I89" s="678"/>
      <c r="K89" s="684">
        <v>77</v>
      </c>
      <c r="L89" s="686" t="s">
        <v>444</v>
      </c>
      <c r="M89" s="677"/>
      <c r="N89" s="678"/>
      <c r="P89" s="684">
        <v>77</v>
      </c>
      <c r="Q89" s="686" t="s">
        <v>444</v>
      </c>
      <c r="R89" s="677"/>
      <c r="S89" s="678"/>
    </row>
    <row r="90" spans="1:19">
      <c r="A90" s="684">
        <v>78</v>
      </c>
      <c r="B90" s="686" t="s">
        <v>445</v>
      </c>
      <c r="C90" s="677"/>
      <c r="D90" s="678"/>
      <c r="E90" s="700"/>
      <c r="F90" s="684">
        <v>78</v>
      </c>
      <c r="G90" s="686" t="s">
        <v>445</v>
      </c>
      <c r="H90" s="677"/>
      <c r="I90" s="678"/>
      <c r="K90" s="684">
        <v>78</v>
      </c>
      <c r="L90" s="686" t="s">
        <v>445</v>
      </c>
      <c r="M90" s="677"/>
      <c r="N90" s="678"/>
      <c r="P90" s="684">
        <v>78</v>
      </c>
      <c r="Q90" s="686" t="s">
        <v>445</v>
      </c>
      <c r="R90" s="677"/>
      <c r="S90" s="678"/>
    </row>
    <row r="91" spans="1:19">
      <c r="A91" s="684">
        <v>79</v>
      </c>
      <c r="B91" s="686" t="s">
        <v>446</v>
      </c>
      <c r="C91" s="677"/>
      <c r="D91" s="678"/>
      <c r="E91" s="700"/>
      <c r="F91" s="684">
        <v>79</v>
      </c>
      <c r="G91" s="686" t="s">
        <v>446</v>
      </c>
      <c r="H91" s="677"/>
      <c r="I91" s="678"/>
      <c r="K91" s="684">
        <v>79</v>
      </c>
      <c r="L91" s="686" t="s">
        <v>446</v>
      </c>
      <c r="M91" s="677"/>
      <c r="N91" s="678"/>
      <c r="P91" s="684">
        <v>79</v>
      </c>
      <c r="Q91" s="686" t="s">
        <v>446</v>
      </c>
      <c r="R91" s="677"/>
      <c r="S91" s="678"/>
    </row>
    <row r="92" spans="1:19">
      <c r="A92" s="684">
        <v>80</v>
      </c>
      <c r="B92" s="686" t="s">
        <v>447</v>
      </c>
      <c r="C92" s="677"/>
      <c r="D92" s="678"/>
      <c r="E92" s="700"/>
      <c r="F92" s="684">
        <v>80</v>
      </c>
      <c r="G92" s="686" t="s">
        <v>447</v>
      </c>
      <c r="H92" s="677"/>
      <c r="I92" s="678"/>
      <c r="K92" s="684">
        <v>80</v>
      </c>
      <c r="L92" s="686" t="s">
        <v>447</v>
      </c>
      <c r="M92" s="677"/>
      <c r="N92" s="678"/>
      <c r="P92" s="684">
        <v>80</v>
      </c>
      <c r="Q92" s="686" t="s">
        <v>447</v>
      </c>
      <c r="R92" s="677"/>
      <c r="S92" s="678"/>
    </row>
    <row r="93" spans="1:19">
      <c r="A93" s="684">
        <v>81</v>
      </c>
      <c r="B93" s="686" t="s">
        <v>448</v>
      </c>
      <c r="C93" s="677"/>
      <c r="D93" s="678"/>
      <c r="E93" s="700"/>
      <c r="F93" s="684">
        <v>81</v>
      </c>
      <c r="G93" s="686" t="s">
        <v>448</v>
      </c>
      <c r="H93" s="677"/>
      <c r="I93" s="678"/>
      <c r="K93" s="684">
        <v>81</v>
      </c>
      <c r="L93" s="686" t="s">
        <v>448</v>
      </c>
      <c r="M93" s="677"/>
      <c r="N93" s="678"/>
      <c r="P93" s="684">
        <v>81</v>
      </c>
      <c r="Q93" s="686" t="s">
        <v>448</v>
      </c>
      <c r="R93" s="677"/>
      <c r="S93" s="678"/>
    </row>
    <row r="94" spans="1:19">
      <c r="A94" s="684">
        <v>82</v>
      </c>
      <c r="B94" s="686" t="s">
        <v>449</v>
      </c>
      <c r="C94" s="677"/>
      <c r="D94" s="678"/>
      <c r="E94" s="700"/>
      <c r="F94" s="684">
        <v>82</v>
      </c>
      <c r="G94" s="686" t="s">
        <v>449</v>
      </c>
      <c r="H94" s="677"/>
      <c r="I94" s="678"/>
      <c r="K94" s="684">
        <v>82</v>
      </c>
      <c r="L94" s="686" t="s">
        <v>449</v>
      </c>
      <c r="M94" s="677"/>
      <c r="N94" s="678"/>
      <c r="P94" s="684">
        <v>82</v>
      </c>
      <c r="Q94" s="686" t="s">
        <v>449</v>
      </c>
      <c r="R94" s="677"/>
      <c r="S94" s="678"/>
    </row>
    <row r="95" spans="1:19">
      <c r="A95" s="684">
        <v>83</v>
      </c>
      <c r="B95" s="686" t="s">
        <v>450</v>
      </c>
      <c r="C95" s="677"/>
      <c r="D95" s="678"/>
      <c r="E95" s="700"/>
      <c r="F95" s="684">
        <v>83</v>
      </c>
      <c r="G95" s="686" t="s">
        <v>450</v>
      </c>
      <c r="H95" s="677"/>
      <c r="I95" s="678"/>
      <c r="K95" s="684">
        <v>83</v>
      </c>
      <c r="L95" s="686" t="s">
        <v>450</v>
      </c>
      <c r="M95" s="677"/>
      <c r="N95" s="678"/>
      <c r="P95" s="684">
        <v>83</v>
      </c>
      <c r="Q95" s="686" t="s">
        <v>450</v>
      </c>
      <c r="R95" s="677"/>
      <c r="S95" s="678"/>
    </row>
    <row r="96" spans="1:19">
      <c r="A96" s="684">
        <v>84</v>
      </c>
      <c r="B96" s="686" t="s">
        <v>451</v>
      </c>
      <c r="C96" s="677"/>
      <c r="D96" s="678"/>
      <c r="E96" s="700"/>
      <c r="F96" s="684">
        <v>84</v>
      </c>
      <c r="G96" s="686" t="s">
        <v>451</v>
      </c>
      <c r="H96" s="677"/>
      <c r="I96" s="678"/>
      <c r="K96" s="684">
        <v>84</v>
      </c>
      <c r="L96" s="686" t="s">
        <v>451</v>
      </c>
      <c r="M96" s="677"/>
      <c r="N96" s="678"/>
      <c r="P96" s="684">
        <v>84</v>
      </c>
      <c r="Q96" s="686" t="s">
        <v>451</v>
      </c>
      <c r="R96" s="677"/>
      <c r="S96" s="678"/>
    </row>
    <row r="97" spans="1:19">
      <c r="A97" s="684">
        <v>85</v>
      </c>
      <c r="B97" s="686" t="s">
        <v>452</v>
      </c>
      <c r="C97" s="677"/>
      <c r="D97" s="678"/>
      <c r="E97" s="700"/>
      <c r="F97" s="684">
        <v>85</v>
      </c>
      <c r="G97" s="686" t="s">
        <v>452</v>
      </c>
      <c r="H97" s="677"/>
      <c r="I97" s="678"/>
      <c r="K97" s="684">
        <v>85</v>
      </c>
      <c r="L97" s="686" t="s">
        <v>452</v>
      </c>
      <c r="M97" s="677"/>
      <c r="N97" s="678"/>
      <c r="P97" s="684">
        <v>85</v>
      </c>
      <c r="Q97" s="686" t="s">
        <v>452</v>
      </c>
      <c r="R97" s="677"/>
      <c r="S97" s="678"/>
    </row>
    <row r="98" spans="1:19">
      <c r="A98" s="684">
        <v>86</v>
      </c>
      <c r="B98" s="686" t="s">
        <v>453</v>
      </c>
      <c r="C98" s="677"/>
      <c r="D98" s="678"/>
      <c r="E98" s="700"/>
      <c r="F98" s="684">
        <v>86</v>
      </c>
      <c r="G98" s="686" t="s">
        <v>453</v>
      </c>
      <c r="H98" s="677"/>
      <c r="I98" s="678"/>
      <c r="K98" s="684">
        <v>86</v>
      </c>
      <c r="L98" s="686" t="s">
        <v>453</v>
      </c>
      <c r="M98" s="677"/>
      <c r="N98" s="678"/>
      <c r="P98" s="684">
        <v>86</v>
      </c>
      <c r="Q98" s="686" t="s">
        <v>453</v>
      </c>
      <c r="R98" s="677"/>
      <c r="S98" s="678"/>
    </row>
    <row r="99" spans="1:19">
      <c r="A99" s="684">
        <v>87</v>
      </c>
      <c r="B99" s="686" t="s">
        <v>454</v>
      </c>
      <c r="C99" s="677"/>
      <c r="D99" s="678"/>
      <c r="E99" s="700"/>
      <c r="F99" s="684">
        <v>87</v>
      </c>
      <c r="G99" s="686" t="s">
        <v>454</v>
      </c>
      <c r="H99" s="677"/>
      <c r="I99" s="678"/>
      <c r="K99" s="684">
        <v>87</v>
      </c>
      <c r="L99" s="686" t="s">
        <v>454</v>
      </c>
      <c r="M99" s="677"/>
      <c r="N99" s="678"/>
      <c r="P99" s="684">
        <v>87</v>
      </c>
      <c r="Q99" s="686" t="s">
        <v>454</v>
      </c>
      <c r="R99" s="677"/>
      <c r="S99" s="678"/>
    </row>
    <row r="100" spans="1:19">
      <c r="A100" s="684">
        <v>88</v>
      </c>
      <c r="B100" s="686" t="s">
        <v>455</v>
      </c>
      <c r="C100" s="677"/>
      <c r="D100" s="678"/>
      <c r="E100" s="700"/>
      <c r="F100" s="684">
        <v>88</v>
      </c>
      <c r="G100" s="686" t="s">
        <v>455</v>
      </c>
      <c r="H100" s="677"/>
      <c r="I100" s="678"/>
      <c r="K100" s="684">
        <v>88</v>
      </c>
      <c r="L100" s="686" t="s">
        <v>455</v>
      </c>
      <c r="M100" s="677"/>
      <c r="N100" s="678"/>
      <c r="P100" s="684">
        <v>88</v>
      </c>
      <c r="Q100" s="686" t="s">
        <v>455</v>
      </c>
      <c r="R100" s="677"/>
      <c r="S100" s="678"/>
    </row>
    <row r="101" spans="1:19">
      <c r="A101" s="684">
        <v>89</v>
      </c>
      <c r="B101" s="686" t="s">
        <v>456</v>
      </c>
      <c r="C101" s="677"/>
      <c r="D101" s="678"/>
      <c r="E101" s="700"/>
      <c r="F101" s="684">
        <v>89</v>
      </c>
      <c r="G101" s="686" t="s">
        <v>456</v>
      </c>
      <c r="H101" s="677"/>
      <c r="I101" s="678"/>
      <c r="K101" s="684">
        <v>89</v>
      </c>
      <c r="L101" s="686" t="s">
        <v>456</v>
      </c>
      <c r="M101" s="677"/>
      <c r="N101" s="678"/>
      <c r="P101" s="684">
        <v>89</v>
      </c>
      <c r="Q101" s="686" t="s">
        <v>456</v>
      </c>
      <c r="R101" s="677"/>
      <c r="S101" s="678"/>
    </row>
    <row r="102" spans="1:19">
      <c r="A102" s="684">
        <v>90</v>
      </c>
      <c r="B102" s="686" t="s">
        <v>457</v>
      </c>
      <c r="C102" s="677"/>
      <c r="D102" s="678"/>
      <c r="E102" s="700"/>
      <c r="F102" s="684">
        <v>90</v>
      </c>
      <c r="G102" s="686" t="s">
        <v>457</v>
      </c>
      <c r="H102" s="677"/>
      <c r="I102" s="678"/>
      <c r="K102" s="684">
        <v>90</v>
      </c>
      <c r="L102" s="686" t="s">
        <v>457</v>
      </c>
      <c r="M102" s="677"/>
      <c r="N102" s="678"/>
      <c r="P102" s="684">
        <v>90</v>
      </c>
      <c r="Q102" s="686" t="s">
        <v>457</v>
      </c>
      <c r="R102" s="677"/>
      <c r="S102" s="678"/>
    </row>
    <row r="103" spans="1:19">
      <c r="A103" s="684">
        <v>91</v>
      </c>
      <c r="B103" s="686" t="s">
        <v>458</v>
      </c>
      <c r="C103" s="677"/>
      <c r="D103" s="678"/>
      <c r="E103" s="700"/>
      <c r="F103" s="684">
        <v>91</v>
      </c>
      <c r="G103" s="686" t="s">
        <v>458</v>
      </c>
      <c r="H103" s="677"/>
      <c r="I103" s="678"/>
      <c r="K103" s="684">
        <v>91</v>
      </c>
      <c r="L103" s="686" t="s">
        <v>458</v>
      </c>
      <c r="M103" s="677"/>
      <c r="N103" s="678"/>
      <c r="P103" s="684">
        <v>91</v>
      </c>
      <c r="Q103" s="686" t="s">
        <v>458</v>
      </c>
      <c r="R103" s="677"/>
      <c r="S103" s="678"/>
    </row>
    <row r="104" spans="1:19">
      <c r="A104" s="684">
        <v>92</v>
      </c>
      <c r="B104" s="686" t="s">
        <v>459</v>
      </c>
      <c r="C104" s="677"/>
      <c r="D104" s="678"/>
      <c r="E104" s="700"/>
      <c r="F104" s="684">
        <v>92</v>
      </c>
      <c r="G104" s="686" t="s">
        <v>459</v>
      </c>
      <c r="H104" s="677"/>
      <c r="I104" s="678"/>
      <c r="K104" s="684">
        <v>92</v>
      </c>
      <c r="L104" s="686" t="s">
        <v>459</v>
      </c>
      <c r="M104" s="677"/>
      <c r="N104" s="678"/>
      <c r="P104" s="684">
        <v>92</v>
      </c>
      <c r="Q104" s="686" t="s">
        <v>459</v>
      </c>
      <c r="R104" s="677"/>
      <c r="S104" s="678"/>
    </row>
    <row r="105" spans="1:19">
      <c r="A105" s="684">
        <v>93</v>
      </c>
      <c r="B105" s="686" t="s">
        <v>460</v>
      </c>
      <c r="C105" s="677"/>
      <c r="D105" s="678"/>
      <c r="E105" s="700"/>
      <c r="F105" s="684">
        <v>93</v>
      </c>
      <c r="G105" s="686" t="s">
        <v>460</v>
      </c>
      <c r="H105" s="677"/>
      <c r="I105" s="678"/>
      <c r="K105" s="684">
        <v>93</v>
      </c>
      <c r="L105" s="686" t="s">
        <v>460</v>
      </c>
      <c r="M105" s="677"/>
      <c r="N105" s="678"/>
      <c r="P105" s="684">
        <v>93</v>
      </c>
      <c r="Q105" s="686" t="s">
        <v>460</v>
      </c>
      <c r="R105" s="677"/>
      <c r="S105" s="678"/>
    </row>
    <row r="106" spans="1:19">
      <c r="A106" s="684">
        <v>94</v>
      </c>
      <c r="B106" s="686" t="s">
        <v>461</v>
      </c>
      <c r="C106" s="677"/>
      <c r="D106" s="678"/>
      <c r="E106" s="700"/>
      <c r="F106" s="684">
        <v>94</v>
      </c>
      <c r="G106" s="686" t="s">
        <v>461</v>
      </c>
      <c r="H106" s="677"/>
      <c r="I106" s="678"/>
      <c r="K106" s="684">
        <v>94</v>
      </c>
      <c r="L106" s="686" t="s">
        <v>461</v>
      </c>
      <c r="M106" s="677"/>
      <c r="N106" s="678"/>
      <c r="P106" s="684">
        <v>94</v>
      </c>
      <c r="Q106" s="686" t="s">
        <v>461</v>
      </c>
      <c r="R106" s="677"/>
      <c r="S106" s="678"/>
    </row>
    <row r="107" spans="1:19">
      <c r="A107" s="684">
        <v>95</v>
      </c>
      <c r="B107" s="686" t="s">
        <v>462</v>
      </c>
      <c r="C107" s="677"/>
      <c r="D107" s="678"/>
      <c r="E107" s="700"/>
      <c r="F107" s="684">
        <v>95</v>
      </c>
      <c r="G107" s="686" t="s">
        <v>462</v>
      </c>
      <c r="H107" s="677"/>
      <c r="I107" s="678"/>
      <c r="K107" s="684">
        <v>95</v>
      </c>
      <c r="L107" s="686" t="s">
        <v>462</v>
      </c>
      <c r="M107" s="677"/>
      <c r="N107" s="678"/>
      <c r="P107" s="684">
        <v>95</v>
      </c>
      <c r="Q107" s="686" t="s">
        <v>462</v>
      </c>
      <c r="R107" s="677"/>
      <c r="S107" s="678"/>
    </row>
    <row r="108" spans="1:19">
      <c r="A108" s="684">
        <v>96</v>
      </c>
      <c r="B108" s="686" t="s">
        <v>463</v>
      </c>
      <c r="C108" s="677"/>
      <c r="D108" s="678"/>
      <c r="E108" s="700"/>
      <c r="F108" s="684">
        <v>96</v>
      </c>
      <c r="G108" s="686" t="s">
        <v>463</v>
      </c>
      <c r="H108" s="677"/>
      <c r="I108" s="678"/>
      <c r="K108" s="684">
        <v>96</v>
      </c>
      <c r="L108" s="686" t="s">
        <v>463</v>
      </c>
      <c r="M108" s="677"/>
      <c r="N108" s="678"/>
      <c r="P108" s="684">
        <v>96</v>
      </c>
      <c r="Q108" s="686" t="s">
        <v>463</v>
      </c>
      <c r="R108" s="677"/>
      <c r="S108" s="678"/>
    </row>
    <row r="109" spans="1:19">
      <c r="A109" s="684">
        <v>97</v>
      </c>
      <c r="B109" s="686" t="s">
        <v>464</v>
      </c>
      <c r="C109" s="677"/>
      <c r="D109" s="678"/>
      <c r="E109" s="700"/>
      <c r="F109" s="684">
        <v>97</v>
      </c>
      <c r="G109" s="686" t="s">
        <v>464</v>
      </c>
      <c r="H109" s="677"/>
      <c r="I109" s="678"/>
      <c r="K109" s="684">
        <v>97</v>
      </c>
      <c r="L109" s="686" t="s">
        <v>464</v>
      </c>
      <c r="M109" s="677"/>
      <c r="N109" s="678"/>
      <c r="P109" s="684">
        <v>97</v>
      </c>
      <c r="Q109" s="686" t="s">
        <v>464</v>
      </c>
      <c r="R109" s="677"/>
      <c r="S109" s="678"/>
    </row>
    <row r="110" spans="1:19">
      <c r="A110" s="684">
        <v>98</v>
      </c>
      <c r="B110" s="686" t="s">
        <v>465</v>
      </c>
      <c r="C110" s="677"/>
      <c r="D110" s="678"/>
      <c r="E110" s="700"/>
      <c r="F110" s="684">
        <v>98</v>
      </c>
      <c r="G110" s="686" t="s">
        <v>465</v>
      </c>
      <c r="H110" s="677"/>
      <c r="I110" s="678"/>
      <c r="K110" s="684">
        <v>98</v>
      </c>
      <c r="L110" s="686" t="s">
        <v>465</v>
      </c>
      <c r="M110" s="677"/>
      <c r="N110" s="678"/>
      <c r="P110" s="684">
        <v>98</v>
      </c>
      <c r="Q110" s="686" t="s">
        <v>465</v>
      </c>
      <c r="R110" s="677"/>
      <c r="S110" s="678"/>
    </row>
    <row r="111" spans="1:19">
      <c r="A111" s="684">
        <v>99</v>
      </c>
      <c r="B111" s="686" t="s">
        <v>466</v>
      </c>
      <c r="C111" s="677"/>
      <c r="D111" s="678"/>
      <c r="E111" s="700"/>
      <c r="F111" s="684">
        <v>99</v>
      </c>
      <c r="G111" s="686" t="s">
        <v>466</v>
      </c>
      <c r="H111" s="677"/>
      <c r="I111" s="678"/>
      <c r="K111" s="684">
        <v>99</v>
      </c>
      <c r="L111" s="686" t="s">
        <v>466</v>
      </c>
      <c r="M111" s="677"/>
      <c r="N111" s="678"/>
      <c r="P111" s="684">
        <v>99</v>
      </c>
      <c r="Q111" s="686" t="s">
        <v>466</v>
      </c>
      <c r="R111" s="677"/>
      <c r="S111" s="678"/>
    </row>
    <row r="112" spans="1:19" ht="13.5" thickBot="1">
      <c r="A112" s="687">
        <v>100</v>
      </c>
      <c r="B112" s="688" t="s">
        <v>467</v>
      </c>
      <c r="C112" s="689"/>
      <c r="D112" s="690"/>
      <c r="E112" s="700"/>
      <c r="F112" s="687">
        <v>100</v>
      </c>
      <c r="G112" s="688" t="s">
        <v>467</v>
      </c>
      <c r="H112" s="689"/>
      <c r="I112" s="690"/>
      <c r="K112" s="687">
        <v>100</v>
      </c>
      <c r="L112" s="688" t="s">
        <v>467</v>
      </c>
      <c r="M112" s="689"/>
      <c r="N112" s="690"/>
      <c r="P112" s="687">
        <v>100</v>
      </c>
      <c r="Q112" s="688" t="s">
        <v>467</v>
      </c>
      <c r="R112" s="689"/>
      <c r="S112" s="690"/>
    </row>
    <row r="118" spans="1:4">
      <c r="A118" s="706" t="s">
        <v>473</v>
      </c>
    </row>
    <row r="119" spans="1:4" ht="13.5" thickBot="1"/>
    <row r="120" spans="1:4" ht="13.5" thickBot="1">
      <c r="A120" s="691"/>
      <c r="B120" s="692"/>
      <c r="C120" s="692"/>
      <c r="D120" s="693"/>
    </row>
    <row r="121" spans="1:4" ht="13.5" thickBot="1">
      <c r="A121" s="695"/>
      <c r="B121" s="696"/>
      <c r="C121" s="696"/>
      <c r="D121" s="697"/>
    </row>
    <row r="122" spans="1:4" ht="15.75" thickBot="1">
      <c r="A122" s="996" t="e">
        <v>#REF!</v>
      </c>
      <c r="B122" s="997"/>
      <c r="C122" s="674"/>
      <c r="D122" s="675"/>
    </row>
    <row r="123" spans="1:4">
      <c r="A123" s="990"/>
      <c r="B123" s="991"/>
      <c r="C123" s="674"/>
      <c r="D123" s="675"/>
    </row>
    <row r="124" spans="1:4">
      <c r="A124" s="676"/>
      <c r="B124" s="677"/>
      <c r="C124" s="677"/>
      <c r="D124" s="678"/>
    </row>
    <row r="125" spans="1:4">
      <c r="A125" s="998" t="e">
        <f>IF(OR((A122&gt;9999999999),(A122&lt;0)),"Invalid Entry - More than 1000 crore OR -ve value",IF(A122=0, "",+CONCATENATE(U121,B132,D132,B131,D131,B130,D130,B129,D129,B128,D128,B127," Only")))</f>
        <v>#REF!</v>
      </c>
      <c r="B125" s="999"/>
      <c r="C125" s="999"/>
      <c r="D125" s="1000"/>
    </row>
    <row r="126" spans="1:4">
      <c r="A126" s="676"/>
      <c r="B126" s="677"/>
      <c r="C126" s="677"/>
      <c r="D126" s="678"/>
    </row>
    <row r="127" spans="1:4">
      <c r="A127" s="679" t="e">
        <f>-INT(A122/100)*100+ROUND(A122,0)</f>
        <v>#REF!</v>
      </c>
      <c r="B127" s="677" t="e">
        <f t="shared" ref="B127:B132" si="6">IF(A127=0,"",LOOKUP(A127,$A$13:$A$112,$B$13:$B$112))</f>
        <v>#REF!</v>
      </c>
      <c r="C127" s="677"/>
      <c r="D127" s="680"/>
    </row>
    <row r="128" spans="1:4">
      <c r="A128" s="679" t="e">
        <f>-INT(A122/1000)*10+INT(A122/100)</f>
        <v>#REF!</v>
      </c>
      <c r="B128" s="677" t="e">
        <f t="shared" si="6"/>
        <v>#REF!</v>
      </c>
      <c r="C128" s="677"/>
      <c r="D128" s="680" t="e">
        <f>+IF(B128="",""," Hundred ")</f>
        <v>#REF!</v>
      </c>
    </row>
    <row r="129" spans="1:4">
      <c r="A129" s="679" t="e">
        <f>-INT(A122/100000)*100+INT(A122/1000)</f>
        <v>#REF!</v>
      </c>
      <c r="B129" s="677" t="e">
        <f t="shared" si="6"/>
        <v>#REF!</v>
      </c>
      <c r="C129" s="677"/>
      <c r="D129" s="680" t="e">
        <f>IF((B129=""),IF(C129="",""," Thousand ")," Thousand ")</f>
        <v>#REF!</v>
      </c>
    </row>
    <row r="130" spans="1:4">
      <c r="A130" s="679" t="e">
        <f>-INT(A122/10000000)*100+INT(A122/100000)</f>
        <v>#REF!</v>
      </c>
      <c r="B130" s="677" t="e">
        <f t="shared" si="6"/>
        <v>#REF!</v>
      </c>
      <c r="C130" s="677"/>
      <c r="D130" s="680" t="e">
        <f>IF((B130=""),IF(C130="",""," Lac ")," Lac ")</f>
        <v>#REF!</v>
      </c>
    </row>
    <row r="131" spans="1:4">
      <c r="A131" s="679" t="e">
        <f>-INT(A122/1000000000)*100+INT(A122/10000000)</f>
        <v>#REF!</v>
      </c>
      <c r="B131" s="681" t="e">
        <f t="shared" si="6"/>
        <v>#REF!</v>
      </c>
      <c r="C131" s="677"/>
      <c r="D131" s="680" t="e">
        <f>IF((B131=""),IF(C131="",""," Crore ")," Crore ")</f>
        <v>#REF!</v>
      </c>
    </row>
    <row r="132" spans="1:4">
      <c r="A132" s="682" t="e">
        <f>-INT(A122/10000000000)*1000+INT(A122/1000000000)</f>
        <v>#REF!</v>
      </c>
      <c r="B132" s="681" t="e">
        <f t="shared" si="6"/>
        <v>#REF!</v>
      </c>
      <c r="C132" s="677"/>
      <c r="D132" s="680" t="e">
        <f>IF((B132=""),IF(C132="",""," Hundred ")," Hundred ")</f>
        <v>#REF!</v>
      </c>
    </row>
    <row r="133" spans="1:4">
      <c r="A133" s="683"/>
      <c r="B133" s="677"/>
      <c r="C133" s="677"/>
      <c r="D133" s="678"/>
    </row>
    <row r="134" spans="1:4">
      <c r="A134" s="684">
        <v>1</v>
      </c>
      <c r="B134" s="685" t="s">
        <v>368</v>
      </c>
      <c r="C134" s="677"/>
      <c r="D134" s="678"/>
    </row>
    <row r="135" spans="1:4">
      <c r="A135" s="684">
        <v>2</v>
      </c>
      <c r="B135" s="685" t="s">
        <v>369</v>
      </c>
      <c r="C135" s="677"/>
      <c r="D135" s="678"/>
    </row>
    <row r="136" spans="1:4">
      <c r="A136" s="684">
        <v>3</v>
      </c>
      <c r="B136" s="685" t="s">
        <v>370</v>
      </c>
      <c r="C136" s="677"/>
      <c r="D136" s="678"/>
    </row>
    <row r="137" spans="1:4">
      <c r="A137" s="684">
        <v>4</v>
      </c>
      <c r="B137" s="685" t="s">
        <v>371</v>
      </c>
      <c r="C137" s="677"/>
      <c r="D137" s="678"/>
    </row>
    <row r="138" spans="1:4">
      <c r="A138" s="684">
        <v>5</v>
      </c>
      <c r="B138" s="685" t="s">
        <v>372</v>
      </c>
      <c r="C138" s="677"/>
      <c r="D138" s="678"/>
    </row>
    <row r="139" spans="1:4">
      <c r="A139" s="684">
        <v>6</v>
      </c>
      <c r="B139" s="685" t="s">
        <v>373</v>
      </c>
      <c r="C139" s="677"/>
      <c r="D139" s="678"/>
    </row>
    <row r="140" spans="1:4">
      <c r="A140" s="684">
        <v>7</v>
      </c>
      <c r="B140" s="685" t="s">
        <v>374</v>
      </c>
      <c r="C140" s="677"/>
      <c r="D140" s="678"/>
    </row>
    <row r="141" spans="1:4">
      <c r="A141" s="684">
        <v>8</v>
      </c>
      <c r="B141" s="685" t="s">
        <v>375</v>
      </c>
      <c r="C141" s="677"/>
      <c r="D141" s="678"/>
    </row>
    <row r="142" spans="1:4">
      <c r="A142" s="684">
        <v>9</v>
      </c>
      <c r="B142" s="685" t="s">
        <v>376</v>
      </c>
      <c r="C142" s="677"/>
      <c r="D142" s="678"/>
    </row>
    <row r="143" spans="1:4">
      <c r="A143" s="684">
        <v>10</v>
      </c>
      <c r="B143" s="685" t="s">
        <v>377</v>
      </c>
      <c r="C143" s="677"/>
      <c r="D143" s="678"/>
    </row>
    <row r="144" spans="1:4">
      <c r="A144" s="684">
        <v>11</v>
      </c>
      <c r="B144" s="685" t="s">
        <v>378</v>
      </c>
      <c r="C144" s="677"/>
      <c r="D144" s="678"/>
    </row>
    <row r="145" spans="1:4">
      <c r="A145" s="684">
        <v>12</v>
      </c>
      <c r="B145" s="685" t="s">
        <v>379</v>
      </c>
      <c r="C145" s="677"/>
      <c r="D145" s="678"/>
    </row>
    <row r="146" spans="1:4">
      <c r="A146" s="684">
        <v>13</v>
      </c>
      <c r="B146" s="685" t="s">
        <v>380</v>
      </c>
      <c r="C146" s="677"/>
      <c r="D146" s="678"/>
    </row>
    <row r="147" spans="1:4">
      <c r="A147" s="684">
        <v>14</v>
      </c>
      <c r="B147" s="685" t="s">
        <v>381</v>
      </c>
      <c r="C147" s="677"/>
      <c r="D147" s="678"/>
    </row>
    <row r="148" spans="1:4">
      <c r="A148" s="684">
        <v>15</v>
      </c>
      <c r="B148" s="685" t="s">
        <v>382</v>
      </c>
      <c r="C148" s="677"/>
      <c r="D148" s="678"/>
    </row>
    <row r="149" spans="1:4">
      <c r="A149" s="684">
        <v>16</v>
      </c>
      <c r="B149" s="685" t="s">
        <v>383</v>
      </c>
      <c r="C149" s="677"/>
      <c r="D149" s="678"/>
    </row>
    <row r="150" spans="1:4">
      <c r="A150" s="684">
        <v>17</v>
      </c>
      <c r="B150" s="685" t="s">
        <v>384</v>
      </c>
      <c r="C150" s="677"/>
      <c r="D150" s="678"/>
    </row>
    <row r="151" spans="1:4">
      <c r="A151" s="684">
        <v>18</v>
      </c>
      <c r="B151" s="685" t="s">
        <v>385</v>
      </c>
      <c r="C151" s="677"/>
      <c r="D151" s="678"/>
    </row>
    <row r="152" spans="1:4">
      <c r="A152" s="684">
        <v>19</v>
      </c>
      <c r="B152" s="685" t="s">
        <v>386</v>
      </c>
      <c r="C152" s="677"/>
      <c r="D152" s="678"/>
    </row>
    <row r="153" spans="1:4">
      <c r="A153" s="684">
        <v>20</v>
      </c>
      <c r="B153" s="685" t="s">
        <v>387</v>
      </c>
      <c r="C153" s="677"/>
      <c r="D153" s="678"/>
    </row>
    <row r="154" spans="1:4">
      <c r="A154" s="684">
        <v>21</v>
      </c>
      <c r="B154" s="685" t="s">
        <v>388</v>
      </c>
      <c r="C154" s="677"/>
      <c r="D154" s="678"/>
    </row>
    <row r="155" spans="1:4">
      <c r="A155" s="684">
        <v>22</v>
      </c>
      <c r="B155" s="685" t="s">
        <v>389</v>
      </c>
      <c r="C155" s="677"/>
      <c r="D155" s="678"/>
    </row>
    <row r="156" spans="1:4">
      <c r="A156" s="684">
        <v>23</v>
      </c>
      <c r="B156" s="685" t="s">
        <v>390</v>
      </c>
      <c r="C156" s="677"/>
      <c r="D156" s="678"/>
    </row>
    <row r="157" spans="1:4">
      <c r="A157" s="684">
        <v>24</v>
      </c>
      <c r="B157" s="685" t="s">
        <v>391</v>
      </c>
      <c r="C157" s="677"/>
      <c r="D157" s="678"/>
    </row>
    <row r="158" spans="1:4">
      <c r="A158" s="684">
        <v>25</v>
      </c>
      <c r="B158" s="685" t="s">
        <v>392</v>
      </c>
      <c r="C158" s="677"/>
      <c r="D158" s="678"/>
    </row>
    <row r="159" spans="1:4">
      <c r="A159" s="684">
        <v>26</v>
      </c>
      <c r="B159" s="685" t="s">
        <v>393</v>
      </c>
      <c r="C159" s="677"/>
      <c r="D159" s="678"/>
    </row>
    <row r="160" spans="1:4">
      <c r="A160" s="684">
        <v>27</v>
      </c>
      <c r="B160" s="685" t="s">
        <v>394</v>
      </c>
      <c r="C160" s="677"/>
      <c r="D160" s="678"/>
    </row>
    <row r="161" spans="1:4">
      <c r="A161" s="684">
        <v>28</v>
      </c>
      <c r="B161" s="685" t="s">
        <v>395</v>
      </c>
      <c r="C161" s="677"/>
      <c r="D161" s="678"/>
    </row>
    <row r="162" spans="1:4">
      <c r="A162" s="684">
        <v>29</v>
      </c>
      <c r="B162" s="685" t="s">
        <v>396</v>
      </c>
      <c r="C162" s="677"/>
      <c r="D162" s="678"/>
    </row>
    <row r="163" spans="1:4">
      <c r="A163" s="684">
        <v>30</v>
      </c>
      <c r="B163" s="685" t="s">
        <v>397</v>
      </c>
      <c r="C163" s="677"/>
      <c r="D163" s="678"/>
    </row>
    <row r="164" spans="1:4">
      <c r="A164" s="684">
        <v>31</v>
      </c>
      <c r="B164" s="685" t="s">
        <v>398</v>
      </c>
      <c r="C164" s="677"/>
      <c r="D164" s="678"/>
    </row>
    <row r="165" spans="1:4">
      <c r="A165" s="684">
        <v>32</v>
      </c>
      <c r="B165" s="685" t="s">
        <v>399</v>
      </c>
      <c r="C165" s="677"/>
      <c r="D165" s="678"/>
    </row>
    <row r="166" spans="1:4">
      <c r="A166" s="684">
        <v>33</v>
      </c>
      <c r="B166" s="685" t="s">
        <v>400</v>
      </c>
      <c r="C166" s="677"/>
      <c r="D166" s="678"/>
    </row>
    <row r="167" spans="1:4">
      <c r="A167" s="684">
        <v>34</v>
      </c>
      <c r="B167" s="685" t="s">
        <v>401</v>
      </c>
      <c r="C167" s="677"/>
      <c r="D167" s="678"/>
    </row>
    <row r="168" spans="1:4">
      <c r="A168" s="684">
        <v>35</v>
      </c>
      <c r="B168" s="685" t="s">
        <v>402</v>
      </c>
      <c r="C168" s="677"/>
      <c r="D168" s="678"/>
    </row>
    <row r="169" spans="1:4">
      <c r="A169" s="684">
        <v>36</v>
      </c>
      <c r="B169" s="685" t="s">
        <v>403</v>
      </c>
      <c r="C169" s="677"/>
      <c r="D169" s="678"/>
    </row>
    <row r="170" spans="1:4">
      <c r="A170" s="684">
        <v>37</v>
      </c>
      <c r="B170" s="685" t="s">
        <v>404</v>
      </c>
      <c r="C170" s="677"/>
      <c r="D170" s="678"/>
    </row>
    <row r="171" spans="1:4">
      <c r="A171" s="684">
        <v>38</v>
      </c>
      <c r="B171" s="685" t="s">
        <v>405</v>
      </c>
      <c r="C171" s="677"/>
      <c r="D171" s="678"/>
    </row>
    <row r="172" spans="1:4">
      <c r="A172" s="684">
        <v>39</v>
      </c>
      <c r="B172" s="685" t="s">
        <v>406</v>
      </c>
      <c r="C172" s="677"/>
      <c r="D172" s="678"/>
    </row>
    <row r="173" spans="1:4">
      <c r="A173" s="684">
        <v>40</v>
      </c>
      <c r="B173" s="685" t="s">
        <v>407</v>
      </c>
      <c r="C173" s="677"/>
      <c r="D173" s="678"/>
    </row>
    <row r="174" spans="1:4">
      <c r="A174" s="684">
        <v>41</v>
      </c>
      <c r="B174" s="685" t="s">
        <v>408</v>
      </c>
      <c r="C174" s="677"/>
      <c r="D174" s="678"/>
    </row>
    <row r="175" spans="1:4">
      <c r="A175" s="684">
        <v>42</v>
      </c>
      <c r="B175" s="685" t="s">
        <v>409</v>
      </c>
      <c r="C175" s="677"/>
      <c r="D175" s="678"/>
    </row>
    <row r="176" spans="1:4">
      <c r="A176" s="684">
        <v>43</v>
      </c>
      <c r="B176" s="685" t="s">
        <v>410</v>
      </c>
      <c r="C176" s="677"/>
      <c r="D176" s="678"/>
    </row>
    <row r="177" spans="1:4">
      <c r="A177" s="684">
        <v>44</v>
      </c>
      <c r="B177" s="685" t="s">
        <v>411</v>
      </c>
      <c r="C177" s="677"/>
      <c r="D177" s="678"/>
    </row>
    <row r="178" spans="1:4">
      <c r="A178" s="684">
        <v>45</v>
      </c>
      <c r="B178" s="685" t="s">
        <v>412</v>
      </c>
      <c r="C178" s="677"/>
      <c r="D178" s="678"/>
    </row>
    <row r="179" spans="1:4">
      <c r="A179" s="684">
        <v>46</v>
      </c>
      <c r="B179" s="685" t="s">
        <v>413</v>
      </c>
      <c r="C179" s="677"/>
      <c r="D179" s="678"/>
    </row>
    <row r="180" spans="1:4">
      <c r="A180" s="684">
        <v>47</v>
      </c>
      <c r="B180" s="685" t="s">
        <v>414</v>
      </c>
      <c r="C180" s="677"/>
      <c r="D180" s="678"/>
    </row>
    <row r="181" spans="1:4">
      <c r="A181" s="684">
        <v>48</v>
      </c>
      <c r="B181" s="685" t="s">
        <v>415</v>
      </c>
      <c r="C181" s="677"/>
      <c r="D181" s="678"/>
    </row>
    <row r="182" spans="1:4">
      <c r="A182" s="684">
        <v>49</v>
      </c>
      <c r="B182" s="685" t="s">
        <v>416</v>
      </c>
      <c r="C182" s="677"/>
      <c r="D182" s="678"/>
    </row>
    <row r="183" spans="1:4">
      <c r="A183" s="684">
        <v>50</v>
      </c>
      <c r="B183" s="685" t="s">
        <v>417</v>
      </c>
      <c r="C183" s="677"/>
      <c r="D183" s="678"/>
    </row>
    <row r="184" spans="1:4">
      <c r="A184" s="684">
        <v>51</v>
      </c>
      <c r="B184" s="685" t="s">
        <v>418</v>
      </c>
      <c r="C184" s="677"/>
      <c r="D184" s="678"/>
    </row>
    <row r="185" spans="1:4">
      <c r="A185" s="684">
        <v>52</v>
      </c>
      <c r="B185" s="685" t="s">
        <v>419</v>
      </c>
      <c r="C185" s="677"/>
      <c r="D185" s="678"/>
    </row>
    <row r="186" spans="1:4">
      <c r="A186" s="684">
        <v>53</v>
      </c>
      <c r="B186" s="685" t="s">
        <v>420</v>
      </c>
      <c r="C186" s="677"/>
      <c r="D186" s="678"/>
    </row>
    <row r="187" spans="1:4">
      <c r="A187" s="684">
        <v>54</v>
      </c>
      <c r="B187" s="685" t="s">
        <v>421</v>
      </c>
      <c r="C187" s="677"/>
      <c r="D187" s="678"/>
    </row>
    <row r="188" spans="1:4">
      <c r="A188" s="684">
        <v>55</v>
      </c>
      <c r="B188" s="685" t="s">
        <v>422</v>
      </c>
      <c r="C188" s="677"/>
      <c r="D188" s="678"/>
    </row>
    <row r="189" spans="1:4">
      <c r="A189" s="684">
        <v>56</v>
      </c>
      <c r="B189" s="685" t="s">
        <v>423</v>
      </c>
      <c r="C189" s="677"/>
      <c r="D189" s="678"/>
    </row>
    <row r="190" spans="1:4">
      <c r="A190" s="684">
        <v>57</v>
      </c>
      <c r="B190" s="685" t="s">
        <v>424</v>
      </c>
      <c r="C190" s="677"/>
      <c r="D190" s="678"/>
    </row>
    <row r="191" spans="1:4">
      <c r="A191" s="684">
        <v>58</v>
      </c>
      <c r="B191" s="685" t="s">
        <v>425</v>
      </c>
      <c r="C191" s="677"/>
      <c r="D191" s="678"/>
    </row>
    <row r="192" spans="1:4">
      <c r="A192" s="684">
        <v>59</v>
      </c>
      <c r="B192" s="685" t="s">
        <v>426</v>
      </c>
      <c r="C192" s="677"/>
      <c r="D192" s="678"/>
    </row>
    <row r="193" spans="1:4">
      <c r="A193" s="684">
        <v>60</v>
      </c>
      <c r="B193" s="685" t="s">
        <v>427</v>
      </c>
      <c r="C193" s="677"/>
      <c r="D193" s="678"/>
    </row>
    <row r="194" spans="1:4">
      <c r="A194" s="684">
        <v>61</v>
      </c>
      <c r="B194" s="685" t="s">
        <v>428</v>
      </c>
      <c r="C194" s="677"/>
      <c r="D194" s="678"/>
    </row>
    <row r="195" spans="1:4">
      <c r="A195" s="684">
        <v>62</v>
      </c>
      <c r="B195" s="685" t="s">
        <v>429</v>
      </c>
      <c r="C195" s="677"/>
      <c r="D195" s="678"/>
    </row>
    <row r="196" spans="1:4">
      <c r="A196" s="684">
        <v>63</v>
      </c>
      <c r="B196" s="686" t="s">
        <v>430</v>
      </c>
      <c r="C196" s="677"/>
      <c r="D196" s="678"/>
    </row>
    <row r="197" spans="1:4">
      <c r="A197" s="684">
        <v>64</v>
      </c>
      <c r="B197" s="686" t="s">
        <v>431</v>
      </c>
      <c r="C197" s="677"/>
      <c r="D197" s="678"/>
    </row>
    <row r="198" spans="1:4">
      <c r="A198" s="684">
        <v>65</v>
      </c>
      <c r="B198" s="686" t="s">
        <v>432</v>
      </c>
      <c r="C198" s="677"/>
      <c r="D198" s="678"/>
    </row>
    <row r="199" spans="1:4">
      <c r="A199" s="684">
        <v>66</v>
      </c>
      <c r="B199" s="686" t="s">
        <v>433</v>
      </c>
      <c r="C199" s="677"/>
      <c r="D199" s="678"/>
    </row>
    <row r="200" spans="1:4">
      <c r="A200" s="684">
        <v>67</v>
      </c>
      <c r="B200" s="686" t="s">
        <v>434</v>
      </c>
      <c r="C200" s="677"/>
      <c r="D200" s="678"/>
    </row>
    <row r="201" spans="1:4">
      <c r="A201" s="684">
        <v>68</v>
      </c>
      <c r="B201" s="686" t="s">
        <v>435</v>
      </c>
      <c r="C201" s="677"/>
      <c r="D201" s="678"/>
    </row>
    <row r="202" spans="1:4">
      <c r="A202" s="684">
        <v>69</v>
      </c>
      <c r="B202" s="686" t="s">
        <v>436</v>
      </c>
      <c r="C202" s="677"/>
      <c r="D202" s="678"/>
    </row>
    <row r="203" spans="1:4">
      <c r="A203" s="684">
        <v>70</v>
      </c>
      <c r="B203" s="686" t="s">
        <v>437</v>
      </c>
      <c r="C203" s="677"/>
      <c r="D203" s="678"/>
    </row>
    <row r="204" spans="1:4">
      <c r="A204" s="684">
        <v>71</v>
      </c>
      <c r="B204" s="686" t="s">
        <v>438</v>
      </c>
      <c r="C204" s="677"/>
      <c r="D204" s="678"/>
    </row>
    <row r="205" spans="1:4">
      <c r="A205" s="684">
        <v>72</v>
      </c>
      <c r="B205" s="686" t="s">
        <v>439</v>
      </c>
      <c r="C205" s="677"/>
      <c r="D205" s="678"/>
    </row>
    <row r="206" spans="1:4">
      <c r="A206" s="684">
        <v>73</v>
      </c>
      <c r="B206" s="686" t="s">
        <v>440</v>
      </c>
      <c r="C206" s="677"/>
      <c r="D206" s="678"/>
    </row>
    <row r="207" spans="1:4">
      <c r="A207" s="684">
        <v>74</v>
      </c>
      <c r="B207" s="686" t="s">
        <v>441</v>
      </c>
      <c r="C207" s="677"/>
      <c r="D207" s="678"/>
    </row>
    <row r="208" spans="1:4">
      <c r="A208" s="684">
        <v>75</v>
      </c>
      <c r="B208" s="686" t="s">
        <v>442</v>
      </c>
      <c r="C208" s="677"/>
      <c r="D208" s="678"/>
    </row>
    <row r="209" spans="1:4">
      <c r="A209" s="684">
        <v>76</v>
      </c>
      <c r="B209" s="686" t="s">
        <v>443</v>
      </c>
      <c r="C209" s="677"/>
      <c r="D209" s="678"/>
    </row>
    <row r="210" spans="1:4">
      <c r="A210" s="684">
        <v>77</v>
      </c>
      <c r="B210" s="686" t="s">
        <v>444</v>
      </c>
      <c r="C210" s="677"/>
      <c r="D210" s="678"/>
    </row>
    <row r="211" spans="1:4">
      <c r="A211" s="684">
        <v>78</v>
      </c>
      <c r="B211" s="686" t="s">
        <v>445</v>
      </c>
      <c r="C211" s="677"/>
      <c r="D211" s="678"/>
    </row>
    <row r="212" spans="1:4">
      <c r="A212" s="684">
        <v>79</v>
      </c>
      <c r="B212" s="686" t="s">
        <v>446</v>
      </c>
      <c r="C212" s="677"/>
      <c r="D212" s="678"/>
    </row>
    <row r="213" spans="1:4">
      <c r="A213" s="684">
        <v>80</v>
      </c>
      <c r="B213" s="686" t="s">
        <v>447</v>
      </c>
      <c r="C213" s="677"/>
      <c r="D213" s="678"/>
    </row>
    <row r="214" spans="1:4">
      <c r="A214" s="684">
        <v>81</v>
      </c>
      <c r="B214" s="686" t="s">
        <v>448</v>
      </c>
      <c r="C214" s="677"/>
      <c r="D214" s="678"/>
    </row>
    <row r="215" spans="1:4">
      <c r="A215" s="684">
        <v>82</v>
      </c>
      <c r="B215" s="686" t="s">
        <v>449</v>
      </c>
      <c r="C215" s="677"/>
      <c r="D215" s="678"/>
    </row>
    <row r="216" spans="1:4">
      <c r="A216" s="684">
        <v>83</v>
      </c>
      <c r="B216" s="686" t="s">
        <v>450</v>
      </c>
      <c r="C216" s="677"/>
      <c r="D216" s="678"/>
    </row>
    <row r="217" spans="1:4">
      <c r="A217" s="684">
        <v>84</v>
      </c>
      <c r="B217" s="686" t="s">
        <v>451</v>
      </c>
      <c r="C217" s="677"/>
      <c r="D217" s="678"/>
    </row>
    <row r="218" spans="1:4">
      <c r="A218" s="684">
        <v>85</v>
      </c>
      <c r="B218" s="686" t="s">
        <v>452</v>
      </c>
      <c r="C218" s="677"/>
      <c r="D218" s="678"/>
    </row>
    <row r="219" spans="1:4">
      <c r="A219" s="684">
        <v>86</v>
      </c>
      <c r="B219" s="686" t="s">
        <v>453</v>
      </c>
      <c r="C219" s="677"/>
      <c r="D219" s="678"/>
    </row>
    <row r="220" spans="1:4">
      <c r="A220" s="684">
        <v>87</v>
      </c>
      <c r="B220" s="686" t="s">
        <v>454</v>
      </c>
      <c r="C220" s="677"/>
      <c r="D220" s="678"/>
    </row>
    <row r="221" spans="1:4">
      <c r="A221" s="684">
        <v>88</v>
      </c>
      <c r="B221" s="686" t="s">
        <v>455</v>
      </c>
      <c r="C221" s="677"/>
      <c r="D221" s="678"/>
    </row>
    <row r="222" spans="1:4">
      <c r="A222" s="684">
        <v>89</v>
      </c>
      <c r="B222" s="686" t="s">
        <v>456</v>
      </c>
      <c r="C222" s="677"/>
      <c r="D222" s="678"/>
    </row>
    <row r="223" spans="1:4">
      <c r="A223" s="684">
        <v>90</v>
      </c>
      <c r="B223" s="686" t="s">
        <v>457</v>
      </c>
      <c r="C223" s="677"/>
      <c r="D223" s="678"/>
    </row>
    <row r="224" spans="1:4">
      <c r="A224" s="684">
        <v>91</v>
      </c>
      <c r="B224" s="686" t="s">
        <v>458</v>
      </c>
      <c r="C224" s="677"/>
      <c r="D224" s="678"/>
    </row>
    <row r="225" spans="1:4">
      <c r="A225" s="684">
        <v>92</v>
      </c>
      <c r="B225" s="686" t="s">
        <v>459</v>
      </c>
      <c r="C225" s="677"/>
      <c r="D225" s="678"/>
    </row>
    <row r="226" spans="1:4">
      <c r="A226" s="684">
        <v>93</v>
      </c>
      <c r="B226" s="686" t="s">
        <v>460</v>
      </c>
      <c r="C226" s="677"/>
      <c r="D226" s="678"/>
    </row>
    <row r="227" spans="1:4">
      <c r="A227" s="684">
        <v>94</v>
      </c>
      <c r="B227" s="686" t="s">
        <v>461</v>
      </c>
      <c r="C227" s="677"/>
      <c r="D227" s="678"/>
    </row>
    <row r="228" spans="1:4">
      <c r="A228" s="684">
        <v>95</v>
      </c>
      <c r="B228" s="686" t="s">
        <v>462</v>
      </c>
      <c r="C228" s="677"/>
      <c r="D228" s="678"/>
    </row>
    <row r="229" spans="1:4">
      <c r="A229" s="684">
        <v>96</v>
      </c>
      <c r="B229" s="686" t="s">
        <v>463</v>
      </c>
      <c r="C229" s="677"/>
      <c r="D229" s="678"/>
    </row>
    <row r="230" spans="1:4">
      <c r="A230" s="684">
        <v>97</v>
      </c>
      <c r="B230" s="686" t="s">
        <v>464</v>
      </c>
      <c r="C230" s="677"/>
      <c r="D230" s="678"/>
    </row>
    <row r="231" spans="1:4">
      <c r="A231" s="684">
        <v>98</v>
      </c>
      <c r="B231" s="686" t="s">
        <v>465</v>
      </c>
      <c r="C231" s="677"/>
      <c r="D231" s="678"/>
    </row>
    <row r="232" spans="1:4">
      <c r="A232" s="684">
        <v>99</v>
      </c>
      <c r="B232" s="686" t="s">
        <v>466</v>
      </c>
      <c r="C232" s="677"/>
      <c r="D232" s="678"/>
    </row>
    <row r="233" spans="1:4" ht="13.5" thickBot="1">
      <c r="A233" s="687">
        <v>100</v>
      </c>
      <c r="B233" s="688" t="s">
        <v>467</v>
      </c>
      <c r="C233" s="689"/>
      <c r="D233" s="690"/>
    </row>
  </sheetData>
  <sheetProtection selectLockedCells="1"/>
  <customSheetViews>
    <customSheetView guid="{12A89170-4F84-482D-A3C5-7890082E7B73}" hiddenColumns="1" state="hidden" topLeftCell="P1">
      <selection activeCell="DT28" sqref="DT28"/>
      <pageMargins left="0.75" right="0.75" top="1" bottom="1" header="0.5" footer="0.5"/>
      <pageSetup orientation="portrait" r:id="rId1"/>
      <headerFooter alignWithMargins="0"/>
    </customSheetView>
    <customSheetView guid="{D5521983-A70D-48A3-9506-C0263CBBC57D}" hiddenColumns="1" state="hidden" topLeftCell="P1">
      <selection activeCell="DT28" sqref="DT28"/>
      <pageMargins left="0.75" right="0.75" top="1" bottom="1" header="0.5" footer="0.5"/>
      <pageSetup orientation="portrait" r:id="rId2"/>
      <headerFooter alignWithMargins="0"/>
    </customSheetView>
    <customSheetView guid="{63D51328-7CBC-4A1E-B96D-BAE91416501B}"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497EA202-A8B8-45C5-9E6C-C3CD104F3979}"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7AB1F867-F01E-4EB9-A93D-DDCFDB9AA444}" hiddenColumns="1" state="hidden" topLeftCell="P1">
      <selection activeCell="DT28" sqref="DT28"/>
      <pageMargins left="0.75" right="0.75" top="1" bottom="1" header="0.5" footer="0.5"/>
      <pageSetup orientation="portrait" r:id="rId7"/>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02" t="s">
        <v>351</v>
      </c>
      <c r="B1" s="802"/>
      <c r="C1" s="802"/>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801" t="s">
        <v>70</v>
      </c>
      <c r="C12" s="801"/>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801" t="s">
        <v>72</v>
      </c>
      <c r="C14" s="801"/>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801" t="s">
        <v>80</v>
      </c>
      <c r="C21" s="801"/>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801" t="s">
        <v>86</v>
      </c>
      <c r="C27" s="801"/>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801" t="s">
        <v>87</v>
      </c>
      <c r="C30" s="801"/>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801" t="s">
        <v>88</v>
      </c>
      <c r="C33" s="801"/>
      <c r="D33" s="71"/>
    </row>
    <row r="34" spans="2:11" ht="18" customHeight="1">
      <c r="B34" s="73" t="s">
        <v>73</v>
      </c>
      <c r="C34" s="70" t="s">
        <v>89</v>
      </c>
      <c r="D34" s="67"/>
    </row>
    <row r="35" spans="2:11" ht="18" customHeight="1">
      <c r="B35" s="801" t="s">
        <v>90</v>
      </c>
      <c r="C35" s="801"/>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801" t="s">
        <v>96</v>
      </c>
      <c r="C41" s="801"/>
    </row>
    <row r="42" spans="2:11" ht="38.1" customHeight="1">
      <c r="B42" s="73" t="s">
        <v>73</v>
      </c>
      <c r="C42" s="70" t="s">
        <v>97</v>
      </c>
    </row>
    <row r="43" spans="2:11" ht="18" customHeight="1">
      <c r="B43" s="73" t="s">
        <v>73</v>
      </c>
      <c r="C43" s="76" t="s">
        <v>98</v>
      </c>
    </row>
    <row r="44" spans="2:11" ht="18" customHeight="1">
      <c r="B44" s="801" t="s">
        <v>99</v>
      </c>
      <c r="C44" s="801"/>
    </row>
    <row r="45" spans="2:11" ht="38.1" customHeight="1">
      <c r="B45" s="73" t="s">
        <v>73</v>
      </c>
      <c r="C45" s="70" t="s">
        <v>100</v>
      </c>
    </row>
    <row r="46" spans="2:11" ht="18" customHeight="1">
      <c r="B46" s="73" t="s">
        <v>73</v>
      </c>
      <c r="C46" s="76" t="s">
        <v>98</v>
      </c>
    </row>
    <row r="47" spans="2:11" ht="18" customHeight="1">
      <c r="B47" s="801" t="s">
        <v>101</v>
      </c>
      <c r="C47" s="801" t="s">
        <v>102</v>
      </c>
    </row>
    <row r="48" spans="2:11" ht="48" customHeight="1">
      <c r="B48" s="73" t="s">
        <v>73</v>
      </c>
      <c r="C48" s="70" t="s">
        <v>103</v>
      </c>
    </row>
    <row r="49" spans="1:11" ht="18" customHeight="1">
      <c r="B49" s="73" t="s">
        <v>73</v>
      </c>
      <c r="C49" s="76" t="s">
        <v>98</v>
      </c>
    </row>
    <row r="50" spans="1:11" ht="18" customHeight="1">
      <c r="B50" s="801" t="s">
        <v>104</v>
      </c>
      <c r="C50" s="801"/>
    </row>
    <row r="51" spans="1:11" ht="38.1" customHeight="1">
      <c r="B51" s="73" t="s">
        <v>73</v>
      </c>
      <c r="C51" s="70" t="s">
        <v>105</v>
      </c>
    </row>
    <row r="52" spans="1:11" ht="38.1" customHeight="1">
      <c r="B52" s="73" t="s">
        <v>73</v>
      </c>
      <c r="C52" s="70" t="s">
        <v>106</v>
      </c>
    </row>
    <row r="53" spans="1:11" ht="18" customHeight="1">
      <c r="B53" s="801" t="s">
        <v>107</v>
      </c>
      <c r="C53" s="801"/>
    </row>
    <row r="54" spans="1:11" ht="18" customHeight="1">
      <c r="B54" s="73" t="s">
        <v>73</v>
      </c>
      <c r="C54" s="77" t="s">
        <v>108</v>
      </c>
    </row>
    <row r="55" spans="1:11" ht="18" customHeight="1">
      <c r="B55" s="73" t="s">
        <v>73</v>
      </c>
      <c r="C55" s="77" t="s">
        <v>109</v>
      </c>
    </row>
    <row r="56" spans="1:11" ht="18" customHeight="1">
      <c r="B56" s="801" t="s">
        <v>110</v>
      </c>
      <c r="C56" s="801"/>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805"/>
      <c r="B62" s="805"/>
      <c r="C62" s="805"/>
      <c r="D62" s="79"/>
    </row>
    <row r="63" spans="1:11" ht="18" customHeight="1">
      <c r="A63" s="803" t="s">
        <v>115</v>
      </c>
      <c r="B63" s="803"/>
      <c r="C63" s="803"/>
      <c r="D63" s="79"/>
    </row>
    <row r="64" spans="1:11" ht="36" customHeight="1">
      <c r="A64" s="804" t="s">
        <v>116</v>
      </c>
      <c r="B64" s="804"/>
      <c r="C64" s="804"/>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1"/>
  <headerFooter alignWithMargins="0">
    <oddFooter>&amp;RPage &amp;P of &amp;N</oddFooter>
  </headerFooter>
  <rowBreaks count="1" manualBreakCount="1">
    <brk id="29" max="2" man="1"/>
  </rowBreaks>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9" sqref="D9:G9"/>
    </sheetView>
  </sheetViews>
  <sheetFormatPr defaultColWidth="9.140625" defaultRowHeight="15.75"/>
  <cols>
    <col min="1" max="1" width="3.7109375" style="566" customWidth="1"/>
    <col min="2" max="2" width="33" style="563" customWidth="1"/>
    <col min="3" max="3" width="11.7109375" style="563" customWidth="1"/>
    <col min="4" max="5" width="6.42578125" style="563" customWidth="1"/>
    <col min="6" max="6" width="6.42578125" style="566" customWidth="1"/>
    <col min="7" max="7" width="39" style="566" customWidth="1"/>
    <col min="8" max="8" width="11.85546875" style="566" hidden="1" customWidth="1"/>
    <col min="9" max="10" width="11.85546875" style="566" customWidth="1"/>
    <col min="11" max="11" width="11.85546875" style="566" hidden="1" customWidth="1"/>
    <col min="12" max="25" width="11.85546875" style="566" customWidth="1"/>
    <col min="26" max="26" width="9.140625" style="566" customWidth="1"/>
    <col min="27" max="27" width="15.28515625" style="566" customWidth="1"/>
    <col min="28" max="16384" width="9.140625" style="566"/>
  </cols>
  <sheetData>
    <row r="1" spans="1:29" s="563" customFormat="1" ht="111" customHeight="1">
      <c r="B1" s="817" t="str">
        <f>Cover!$B$2</f>
        <v xml:space="preserve">GIS Substation Package SS02 for extension of 400/220kV Kurukshetra GIS Substation associated with Augmentation of transformation capacity at 400/220kV Kurukshetra S/S &amp; Patiala S/S
</v>
      </c>
      <c r="C1" s="817"/>
      <c r="D1" s="817"/>
      <c r="E1" s="817"/>
      <c r="F1" s="817"/>
      <c r="G1" s="817"/>
      <c r="H1" s="564"/>
      <c r="I1" s="564"/>
      <c r="J1" s="564"/>
      <c r="K1" s="564"/>
      <c r="L1" s="564"/>
      <c r="M1" s="564"/>
      <c r="N1" s="564"/>
      <c r="O1" s="564"/>
      <c r="P1" s="564"/>
      <c r="Q1" s="564"/>
      <c r="R1" s="564"/>
      <c r="S1" s="564"/>
      <c r="T1" s="564"/>
      <c r="U1" s="564"/>
      <c r="V1" s="564"/>
      <c r="W1" s="564"/>
      <c r="X1" s="564"/>
      <c r="Y1" s="564"/>
      <c r="AA1" s="565"/>
      <c r="AB1" s="565"/>
      <c r="AC1" s="565"/>
    </row>
    <row r="2" spans="1:29" ht="16.5" customHeight="1">
      <c r="B2" s="818" t="str">
        <f>Cover!B3</f>
        <v xml:space="preserve">5002002027/GIS-EXCLUDING/DOM/A04-CC CS-5   </v>
      </c>
      <c r="C2" s="818"/>
      <c r="D2" s="818"/>
      <c r="E2" s="818"/>
      <c r="F2" s="818"/>
      <c r="G2" s="818"/>
      <c r="H2" s="563"/>
      <c r="I2" s="563"/>
      <c r="J2" s="563"/>
      <c r="K2" s="563"/>
      <c r="L2" s="563"/>
      <c r="M2" s="563"/>
      <c r="N2" s="563"/>
      <c r="O2" s="563"/>
      <c r="P2" s="563"/>
      <c r="Q2" s="563"/>
      <c r="R2" s="563"/>
      <c r="S2" s="563"/>
      <c r="T2" s="563"/>
      <c r="U2" s="563"/>
      <c r="V2" s="563"/>
      <c r="W2" s="563"/>
      <c r="X2" s="563"/>
      <c r="Y2" s="563"/>
      <c r="AA2" s="566" t="s">
        <v>117</v>
      </c>
      <c r="AB2" s="567">
        <v>1</v>
      </c>
      <c r="AC2" s="568"/>
    </row>
    <row r="3" spans="1:29" ht="12" customHeight="1">
      <c r="B3" s="569"/>
      <c r="C3" s="569"/>
      <c r="D3" s="569"/>
      <c r="E3" s="569"/>
      <c r="F3" s="563"/>
      <c r="G3" s="563"/>
      <c r="H3" s="563"/>
      <c r="I3" s="563"/>
      <c r="J3" s="563"/>
      <c r="K3" s="563"/>
      <c r="L3" s="563"/>
      <c r="M3" s="563"/>
      <c r="N3" s="563"/>
      <c r="O3" s="563"/>
      <c r="P3" s="563"/>
      <c r="Q3" s="563"/>
      <c r="R3" s="563"/>
      <c r="S3" s="563"/>
      <c r="T3" s="563"/>
      <c r="U3" s="563"/>
      <c r="V3" s="563"/>
      <c r="W3" s="563"/>
      <c r="X3" s="563"/>
      <c r="Y3" s="563"/>
      <c r="AA3" s="566" t="s">
        <v>118</v>
      </c>
      <c r="AB3" s="567" t="s">
        <v>119</v>
      </c>
      <c r="AC3" s="568"/>
    </row>
    <row r="4" spans="1:29" ht="20.100000000000001" customHeight="1">
      <c r="B4" s="819" t="s">
        <v>120</v>
      </c>
      <c r="C4" s="819"/>
      <c r="D4" s="819"/>
      <c r="E4" s="819"/>
      <c r="F4" s="819"/>
      <c r="G4" s="819"/>
      <c r="H4" s="563"/>
      <c r="I4" s="563"/>
      <c r="J4" s="563"/>
      <c r="K4" s="563"/>
      <c r="L4" s="563"/>
      <c r="M4" s="563"/>
      <c r="N4" s="563"/>
      <c r="O4" s="563"/>
      <c r="P4" s="563"/>
      <c r="Q4" s="563"/>
      <c r="R4" s="563"/>
      <c r="S4" s="563"/>
      <c r="T4" s="563"/>
      <c r="U4" s="563"/>
      <c r="V4" s="563"/>
      <c r="W4" s="563"/>
      <c r="X4" s="563"/>
      <c r="Y4" s="563"/>
      <c r="AB4" s="567"/>
      <c r="AC4" s="568"/>
    </row>
    <row r="5" spans="1:29" ht="12" customHeight="1">
      <c r="B5" s="570"/>
      <c r="C5" s="570"/>
      <c r="F5" s="563"/>
      <c r="G5" s="563"/>
      <c r="H5" s="563"/>
      <c r="I5" s="563"/>
      <c r="J5" s="563"/>
      <c r="K5" s="563"/>
      <c r="L5" s="563"/>
      <c r="M5" s="563"/>
      <c r="N5" s="563"/>
      <c r="O5" s="563"/>
      <c r="P5" s="563"/>
      <c r="Q5" s="563"/>
      <c r="R5" s="563"/>
      <c r="S5" s="563"/>
      <c r="T5" s="563"/>
      <c r="U5" s="563"/>
      <c r="V5" s="563"/>
      <c r="W5" s="563"/>
      <c r="X5" s="563"/>
      <c r="Y5" s="563"/>
      <c r="AA5" s="568"/>
      <c r="AB5" s="568"/>
      <c r="AC5" s="568"/>
    </row>
    <row r="6" spans="1:29" s="563" customFormat="1" ht="50.25" customHeight="1">
      <c r="B6" s="824" t="s">
        <v>354</v>
      </c>
      <c r="C6" s="824"/>
      <c r="D6" s="820" t="s">
        <v>117</v>
      </c>
      <c r="E6" s="820"/>
      <c r="F6" s="820"/>
      <c r="G6" s="820"/>
      <c r="H6" s="571"/>
      <c r="I6" s="571"/>
      <c r="J6" s="571"/>
      <c r="K6" s="593">
        <f>IF(D6="Sole Bidder", 1,2)</f>
        <v>1</v>
      </c>
      <c r="L6" s="571"/>
      <c r="M6" s="571"/>
      <c r="N6" s="571"/>
      <c r="O6" s="571"/>
      <c r="P6" s="571"/>
      <c r="Q6" s="571"/>
      <c r="R6" s="571"/>
      <c r="S6" s="571"/>
      <c r="U6" s="571"/>
      <c r="V6" s="571"/>
      <c r="W6" s="571"/>
      <c r="X6" s="571"/>
      <c r="Y6" s="571"/>
      <c r="AA6" s="572">
        <f>IF(D6= "Sole Bidder", 0, D7)</f>
        <v>0</v>
      </c>
      <c r="AB6" s="565"/>
      <c r="AC6" s="565"/>
    </row>
    <row r="7" spans="1:29" ht="50.1" customHeight="1">
      <c r="A7" s="573"/>
      <c r="B7" s="574" t="str">
        <f>IF(D6= "JV (Joint Venture)", "Total Nos. of  Partners in the JV [excluding the Lead Partner]", "")</f>
        <v/>
      </c>
      <c r="C7" s="575"/>
      <c r="D7" s="821" t="s">
        <v>119</v>
      </c>
      <c r="E7" s="822"/>
      <c r="F7" s="822"/>
      <c r="G7" s="823"/>
      <c r="AA7" s="568"/>
      <c r="AB7" s="568"/>
      <c r="AC7" s="568"/>
    </row>
    <row r="8" spans="1:29" ht="19.5" customHeight="1">
      <c r="B8" s="576"/>
      <c r="C8" s="576"/>
      <c r="D8" s="571"/>
    </row>
    <row r="9" spans="1:29" ht="20.100000000000001" customHeight="1">
      <c r="B9" s="577" t="str">
        <f>IF(D6= "Sole Bidder", "Name of Sole Bidder", "Name of Lead Partner")</f>
        <v>Name of Sole Bidder</v>
      </c>
      <c r="C9" s="578"/>
      <c r="D9" s="806"/>
      <c r="E9" s="809"/>
      <c r="F9" s="809"/>
      <c r="G9" s="810"/>
    </row>
    <row r="10" spans="1:29" ht="20.100000000000001" customHeight="1">
      <c r="B10" s="579" t="str">
        <f>IF(D6= "Sole Bidder", "Address of Sole Bidder", "Address of Lead Partner")</f>
        <v>Address of Sole Bidder</v>
      </c>
      <c r="C10" s="580"/>
      <c r="D10" s="806"/>
      <c r="E10" s="809"/>
      <c r="F10" s="809"/>
      <c r="G10" s="810"/>
    </row>
    <row r="11" spans="1:29" ht="20.100000000000001" customHeight="1">
      <c r="B11" s="581"/>
      <c r="C11" s="582"/>
      <c r="D11" s="806"/>
      <c r="E11" s="809"/>
      <c r="F11" s="809"/>
      <c r="G11" s="810"/>
    </row>
    <row r="12" spans="1:29" ht="20.100000000000001" customHeight="1">
      <c r="B12" s="583"/>
      <c r="C12" s="584"/>
      <c r="D12" s="806"/>
      <c r="E12" s="809"/>
      <c r="F12" s="809"/>
      <c r="G12" s="810"/>
    </row>
    <row r="13" spans="1:29" ht="20.100000000000001" customHeight="1"/>
    <row r="14" spans="1:29" ht="20.100000000000001" customHeight="1">
      <c r="B14" s="577" t="str">
        <f>IF(D6="JV (Joint Venture)", "Name of other Partner","Name of other Partner - 1")</f>
        <v>Name of other Partner - 1</v>
      </c>
      <c r="C14" s="578"/>
      <c r="D14" s="806"/>
      <c r="E14" s="809"/>
      <c r="F14" s="809"/>
      <c r="G14" s="810"/>
    </row>
    <row r="15" spans="1:29" ht="20.100000000000001" customHeight="1">
      <c r="B15" s="579" t="str">
        <f>IF(D6="JV (Joint Venture)", "Address of other Partner","Address of other Partner - 1")</f>
        <v>Address of other Partner - 1</v>
      </c>
      <c r="C15" s="580"/>
      <c r="D15" s="811"/>
      <c r="E15" s="812"/>
      <c r="F15" s="812"/>
      <c r="G15" s="813"/>
    </row>
    <row r="16" spans="1:29" ht="20.100000000000001" customHeight="1">
      <c r="B16" s="581"/>
      <c r="C16" s="582"/>
      <c r="D16" s="811"/>
      <c r="E16" s="812"/>
      <c r="F16" s="812"/>
      <c r="G16" s="813"/>
    </row>
    <row r="17" spans="2:8" ht="20.100000000000001" customHeight="1">
      <c r="B17" s="583"/>
      <c r="C17" s="584"/>
      <c r="D17" s="811"/>
      <c r="E17" s="812"/>
      <c r="F17" s="812"/>
      <c r="G17" s="813"/>
    </row>
    <row r="18" spans="2:8" ht="20.100000000000001" customHeight="1"/>
    <row r="19" spans="2:8" ht="20.100000000000001" hidden="1" customHeight="1">
      <c r="B19" s="577" t="s">
        <v>122</v>
      </c>
      <c r="C19" s="578"/>
      <c r="D19" s="806" t="s">
        <v>121</v>
      </c>
      <c r="E19" s="809"/>
      <c r="F19" s="809"/>
      <c r="G19" s="810"/>
    </row>
    <row r="20" spans="2:8" ht="20.100000000000001" hidden="1" customHeight="1">
      <c r="B20" s="579" t="s">
        <v>123</v>
      </c>
      <c r="C20" s="580"/>
      <c r="D20" s="806" t="s">
        <v>121</v>
      </c>
      <c r="E20" s="809"/>
      <c r="F20" s="809"/>
      <c r="G20" s="810"/>
    </row>
    <row r="21" spans="2:8" ht="20.100000000000001" hidden="1" customHeight="1">
      <c r="B21" s="581"/>
      <c r="C21" s="582"/>
      <c r="D21" s="806" t="s">
        <v>121</v>
      </c>
      <c r="E21" s="809"/>
      <c r="F21" s="809"/>
      <c r="G21" s="810"/>
    </row>
    <row r="22" spans="2:8" ht="20.100000000000001" hidden="1" customHeight="1">
      <c r="B22" s="583"/>
      <c r="C22" s="584"/>
      <c r="D22" s="806" t="s">
        <v>121</v>
      </c>
      <c r="E22" s="809"/>
      <c r="F22" s="809"/>
      <c r="G22" s="810"/>
    </row>
    <row r="23" spans="2:8" ht="20.100000000000001" customHeight="1">
      <c r="B23" s="585"/>
      <c r="C23" s="585"/>
    </row>
    <row r="24" spans="2:8" ht="21" customHeight="1">
      <c r="B24" s="586" t="s">
        <v>124</v>
      </c>
      <c r="C24" s="587"/>
      <c r="D24" s="814"/>
      <c r="E24" s="815"/>
      <c r="F24" s="815"/>
      <c r="G24" s="816"/>
    </row>
    <row r="25" spans="2:8" ht="21" customHeight="1">
      <c r="B25" s="586" t="s">
        <v>125</v>
      </c>
      <c r="C25" s="587"/>
      <c r="D25" s="806"/>
      <c r="E25" s="807"/>
      <c r="F25" s="807"/>
      <c r="G25" s="808"/>
    </row>
    <row r="26" spans="2:8" ht="21" customHeight="1">
      <c r="B26" s="588"/>
      <c r="C26" s="588"/>
      <c r="D26" s="589"/>
    </row>
    <row r="27" spans="2:8" s="563" customFormat="1" ht="21" customHeight="1">
      <c r="B27" s="586" t="s">
        <v>126</v>
      </c>
      <c r="C27" s="587"/>
      <c r="D27" s="590"/>
      <c r="E27" s="592"/>
      <c r="F27" s="590"/>
      <c r="G27" s="591" t="str">
        <f>IF(D27&gt;H27, "Invalid Date !", "")</f>
        <v/>
      </c>
      <c r="H27" s="565">
        <f>IF(E27="Feb",28,IF(OR(E27="Apr", E27="Jun", E27="Sep", E27="Nov"),30,31))</f>
        <v>31</v>
      </c>
    </row>
    <row r="28" spans="2:8" ht="21" customHeight="1">
      <c r="B28" s="586" t="s">
        <v>127</v>
      </c>
      <c r="C28" s="587"/>
      <c r="D28" s="806"/>
      <c r="E28" s="807"/>
      <c r="F28" s="807"/>
      <c r="G28" s="808"/>
    </row>
    <row r="29" spans="2:8">
      <c r="E29" s="566"/>
    </row>
  </sheetData>
  <sheetProtection algorithmName="SHA-512" hashValue="JDB1bqNm+5PfIdn2lfST9O1R+HVM9d1HnuhD0I5XAdUpjiKr6QJamFPDN3g7z4r8bhTYix3NQ0+cUk1Imllivw==" saltValue="vAHhNVB24EvzrRA9TkhogA==" spinCount="100000" sheet="1" formatColumns="0" formatRows="0" selectLockedCells="1"/>
  <customSheetViews>
    <customSheetView guid="{12A89170-4F84-482D-A3C5-7890082E7B73}" showGridLines="0" printArea="1" hiddenRows="1" hiddenColumns="1" view="pageBreakPreview">
      <selection activeCell="D9" sqref="D9:G9"/>
      <pageMargins left="0.75" right="0.75" top="0.69" bottom="0.7" header="0.4" footer="0.37"/>
      <pageSetup scale="86" orientation="portrait" r:id="rId1"/>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11" priority="3" stopIfTrue="1">
      <formula>$AA$6&lt;2</formula>
    </cfRule>
  </conditionalFormatting>
  <conditionalFormatting sqref="B14:C17">
    <cfRule type="expression" dxfId="10" priority="4" stopIfTrue="1">
      <formula>$AA$6&lt;1</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1"/>
  <headerFooter alignWithMargins="0"/>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07"/>
  <sheetViews>
    <sheetView view="pageBreakPreview" topLeftCell="A18" zoomScale="85" zoomScaleNormal="92" zoomScaleSheetLayoutView="85" workbookViewId="0">
      <selection activeCell="G18" sqref="G18"/>
    </sheetView>
  </sheetViews>
  <sheetFormatPr defaultColWidth="9.140625" defaultRowHeight="15.75"/>
  <cols>
    <col min="1" max="1" width="4.7109375" style="477" customWidth="1"/>
    <col min="2" max="2" width="18.7109375" style="477" customWidth="1"/>
    <col min="3" max="3" width="8.5703125" style="477" customWidth="1"/>
    <col min="4" max="4" width="24.85546875" style="730" customWidth="1"/>
    <col min="5" max="5" width="14.42578125" style="477" customWidth="1"/>
    <col min="6" max="6" width="13" style="477" customWidth="1"/>
    <col min="7" max="7" width="17.5703125" style="477" customWidth="1"/>
    <col min="8" max="8" width="12.42578125" style="542" customWidth="1"/>
    <col min="9" max="9" width="17.5703125" style="477" customWidth="1"/>
    <col min="10" max="10" width="61.140625" style="730" customWidth="1"/>
    <col min="11" max="11" width="7.140625" style="477" customWidth="1"/>
    <col min="12" max="12" width="11.140625" style="477" customWidth="1"/>
    <col min="13" max="13" width="16.7109375" style="477" customWidth="1"/>
    <col min="14" max="14" width="21.28515625" style="477" customWidth="1"/>
    <col min="15" max="15" width="14" style="477" hidden="1" customWidth="1"/>
    <col min="16" max="16" width="14.85546875" style="477" hidden="1" customWidth="1"/>
    <col min="17" max="17" width="13" style="477" hidden="1" customWidth="1"/>
    <col min="18" max="18" width="20.140625" style="477" hidden="1" customWidth="1"/>
    <col min="19" max="19" width="16.140625" style="477" hidden="1" customWidth="1"/>
    <col min="20" max="20" width="15" style="477" hidden="1" customWidth="1"/>
    <col min="21" max="22" width="9.140625" style="477" hidden="1" customWidth="1"/>
    <col min="23" max="23" width="9.140625" style="477" customWidth="1"/>
    <col min="24" max="37" width="9.140625" style="477" hidden="1" customWidth="1"/>
    <col min="38" max="38" width="0.28515625" style="477" customWidth="1"/>
    <col min="39" max="44" width="9.140625" style="477" customWidth="1"/>
    <col min="45" max="16384" width="9.140625" style="477"/>
  </cols>
  <sheetData>
    <row r="1" spans="1:256" ht="22.5" customHeight="1">
      <c r="A1" s="743" t="str">
        <f>Basic!B5</f>
        <v xml:space="preserve">5002002027/GIS-EXCLUDING/DOM/A04-CC CS-5   </v>
      </c>
      <c r="B1" s="6"/>
      <c r="C1" s="6"/>
      <c r="D1" s="422"/>
      <c r="E1" s="6"/>
      <c r="F1" s="6"/>
      <c r="G1" s="6"/>
      <c r="H1" s="6"/>
      <c r="I1" s="6"/>
      <c r="J1" s="744"/>
      <c r="K1" s="6"/>
      <c r="L1" s="6"/>
      <c r="M1" s="6"/>
      <c r="N1" s="6" t="s">
        <v>477</v>
      </c>
    </row>
    <row r="2" spans="1:256">
      <c r="A2" s="4"/>
      <c r="B2" s="4"/>
      <c r="C2" s="4"/>
      <c r="D2" s="352"/>
      <c r="E2" s="4"/>
      <c r="F2" s="4"/>
      <c r="G2" s="4"/>
      <c r="H2" s="4"/>
      <c r="I2" s="4"/>
      <c r="J2" s="352"/>
      <c r="K2" s="4"/>
      <c r="L2" s="4"/>
      <c r="M2" s="4"/>
      <c r="N2" s="4"/>
    </row>
    <row r="3" spans="1:256" ht="88.5" customHeight="1">
      <c r="A3" s="831" t="str">
        <f>Cover!$B$2</f>
        <v xml:space="preserve">GIS Substation Package SS02 for extension of 400/220kV Kurukshetra GIS Substation associated with Augmentation of transformation capacity at 400/220kV Kurukshetra S/S &amp; Patiala S/S
</v>
      </c>
      <c r="B3" s="831"/>
      <c r="C3" s="831"/>
      <c r="D3" s="831"/>
      <c r="E3" s="831"/>
      <c r="F3" s="831"/>
      <c r="G3" s="831"/>
      <c r="H3" s="831"/>
      <c r="I3" s="831"/>
      <c r="J3" s="831"/>
      <c r="K3" s="831"/>
      <c r="L3" s="831"/>
      <c r="M3" s="831"/>
      <c r="N3" s="831"/>
    </row>
    <row r="4" spans="1:256" ht="16.5">
      <c r="A4" s="832" t="s">
        <v>0</v>
      </c>
      <c r="B4" s="832"/>
      <c r="C4" s="832"/>
      <c r="D4" s="832"/>
      <c r="E4" s="832"/>
      <c r="F4" s="832"/>
      <c r="G4" s="832"/>
      <c r="H4" s="832"/>
      <c r="I4" s="832"/>
      <c r="J4" s="832"/>
      <c r="K4" s="832"/>
      <c r="L4" s="832"/>
      <c r="M4" s="832"/>
      <c r="N4" s="832"/>
    </row>
    <row r="5" spans="1:256" s="595" customFormat="1" ht="27" customHeight="1">
      <c r="A5" s="594"/>
      <c r="B5" s="594"/>
      <c r="C5" s="594"/>
      <c r="D5" s="594"/>
      <c r="E5" s="594"/>
      <c r="F5" s="594"/>
      <c r="G5" s="594"/>
      <c r="H5" s="594"/>
      <c r="I5" s="594"/>
      <c r="J5" s="594"/>
      <c r="K5" s="594"/>
      <c r="L5" s="594"/>
      <c r="M5" s="594"/>
      <c r="N5" s="594"/>
    </row>
    <row r="6" spans="1:256" ht="23.25" customHeight="1">
      <c r="A6" s="833" t="s">
        <v>353</v>
      </c>
      <c r="B6" s="833"/>
      <c r="C6" s="4"/>
      <c r="D6" s="352"/>
      <c r="E6" s="4"/>
      <c r="F6" s="4"/>
      <c r="G6" s="4"/>
      <c r="H6" s="4"/>
      <c r="I6" s="4"/>
      <c r="J6" s="352"/>
      <c r="K6" s="4"/>
      <c r="L6" s="4"/>
      <c r="M6" s="4"/>
      <c r="N6" s="4"/>
    </row>
    <row r="7" spans="1:256" ht="24" customHeight="1">
      <c r="A7" s="838">
        <f>IF(Z7=1,Z8,"JOINT VENTURE OF "&amp;Z8&amp;" &amp; "&amp;Z9)</f>
        <v>0</v>
      </c>
      <c r="B7" s="838"/>
      <c r="C7" s="838"/>
      <c r="D7" s="838"/>
      <c r="E7" s="838"/>
      <c r="F7" s="838"/>
      <c r="G7" s="838"/>
      <c r="H7" s="838"/>
      <c r="I7" s="838"/>
      <c r="J7" s="407"/>
      <c r="K7" s="456" t="s">
        <v>1</v>
      </c>
      <c r="L7" s="406"/>
      <c r="N7" s="4"/>
      <c r="Z7" s="542">
        <f>'Names of Bidder'!K6</f>
        <v>1</v>
      </c>
    </row>
    <row r="8" spans="1:256" ht="24" customHeight="1">
      <c r="A8" s="834" t="str">
        <f>"Bidder’s Name and Address  (" &amp; MID('Names of Bidder'!B9,9, 20) &amp; ") :"</f>
        <v>Bidder’s Name and Address  (Sole Bidder) :</v>
      </c>
      <c r="B8" s="834"/>
      <c r="C8" s="834"/>
      <c r="D8" s="834"/>
      <c r="E8" s="834"/>
      <c r="F8" s="834"/>
      <c r="G8" s="834"/>
      <c r="H8" s="549"/>
      <c r="I8" s="549"/>
      <c r="J8" s="549"/>
      <c r="K8" s="457" t="s">
        <v>2</v>
      </c>
      <c r="L8" s="549"/>
      <c r="N8" s="4"/>
      <c r="U8" s="539"/>
      <c r="Z8" s="825">
        <f>'Names of Bidder'!D9</f>
        <v>0</v>
      </c>
      <c r="AA8" s="825"/>
      <c r="AB8" s="825"/>
      <c r="AC8" s="825"/>
      <c r="AD8" s="825"/>
      <c r="AE8" s="825"/>
      <c r="AF8" s="825"/>
      <c r="AG8" s="825"/>
      <c r="AH8" s="825"/>
      <c r="AI8" s="825"/>
      <c r="AJ8" s="825"/>
      <c r="AK8" s="825"/>
      <c r="AL8" s="825"/>
    </row>
    <row r="9" spans="1:256" ht="24" customHeight="1">
      <c r="A9" s="462" t="s">
        <v>12</v>
      </c>
      <c r="B9" s="408"/>
      <c r="C9" s="837" t="str">
        <f>IF('Names of Bidder'!D9=0, "", 'Names of Bidder'!D9)</f>
        <v/>
      </c>
      <c r="D9" s="837"/>
      <c r="E9" s="837"/>
      <c r="F9" s="837"/>
      <c r="G9" s="837"/>
      <c r="H9" s="445"/>
      <c r="I9" s="409"/>
      <c r="J9" s="410"/>
      <c r="K9" s="457" t="s">
        <v>3</v>
      </c>
      <c r="N9" s="4"/>
      <c r="U9" s="539"/>
      <c r="Z9" s="825">
        <f>'Names of Bidder'!D14</f>
        <v>0</v>
      </c>
      <c r="AA9" s="825"/>
      <c r="AB9" s="825"/>
      <c r="AC9" s="825"/>
      <c r="AD9" s="825"/>
      <c r="AE9" s="825"/>
      <c r="AF9" s="825"/>
      <c r="AG9" s="825"/>
      <c r="AH9" s="825"/>
      <c r="AI9" s="825"/>
      <c r="AJ9" s="825"/>
      <c r="AK9" s="825"/>
      <c r="AL9" s="825"/>
    </row>
    <row r="10" spans="1:256" ht="24" customHeight="1">
      <c r="A10" s="462" t="s">
        <v>11</v>
      </c>
      <c r="B10" s="408"/>
      <c r="C10" s="836" t="str">
        <f>IF('Names of Bidder'!D10=0, "", 'Names of Bidder'!D10)</f>
        <v/>
      </c>
      <c r="D10" s="836"/>
      <c r="E10" s="836"/>
      <c r="F10" s="836"/>
      <c r="G10" s="836"/>
      <c r="H10" s="445"/>
      <c r="I10" s="409"/>
      <c r="J10" s="410"/>
      <c r="K10" s="457" t="s">
        <v>4</v>
      </c>
      <c r="N10" s="4"/>
      <c r="Z10" s="825" t="str">
        <f>"JOINT VENTURE OF "&amp;Z8&amp;" &amp; "&amp;Z9</f>
        <v>JOINT VENTURE OF 0 &amp; 0</v>
      </c>
      <c r="AA10" s="825"/>
      <c r="AB10" s="825"/>
      <c r="AC10" s="825"/>
      <c r="AD10" s="825"/>
      <c r="AE10" s="825"/>
      <c r="AF10" s="825"/>
      <c r="AG10" s="825"/>
      <c r="AH10" s="825"/>
      <c r="AI10" s="825"/>
      <c r="AJ10" s="825"/>
      <c r="AK10" s="825"/>
      <c r="AL10" s="825"/>
    </row>
    <row r="11" spans="1:256" ht="24" customHeight="1">
      <c r="A11" s="409"/>
      <c r="B11" s="409"/>
      <c r="C11" s="836" t="str">
        <f>IF('Names of Bidder'!D11=0, "", 'Names of Bidder'!D11)</f>
        <v/>
      </c>
      <c r="D11" s="836"/>
      <c r="E11" s="836"/>
      <c r="F11" s="836"/>
      <c r="G11" s="836"/>
      <c r="H11" s="445"/>
      <c r="I11" s="409"/>
      <c r="J11" s="410"/>
      <c r="K11" s="457" t="s">
        <v>5</v>
      </c>
      <c r="N11" s="4"/>
    </row>
    <row r="12" spans="1:256" ht="24" customHeight="1">
      <c r="A12" s="409"/>
      <c r="B12" s="409"/>
      <c r="C12" s="836" t="str">
        <f>IF('Names of Bidder'!D12=0, "", 'Names of Bidder'!D12)</f>
        <v/>
      </c>
      <c r="D12" s="836"/>
      <c r="E12" s="836"/>
      <c r="F12" s="836"/>
      <c r="G12" s="836"/>
      <c r="H12" s="445"/>
      <c r="I12" s="409"/>
      <c r="J12" s="410"/>
      <c r="K12" s="457" t="s">
        <v>6</v>
      </c>
      <c r="N12" s="4"/>
    </row>
    <row r="13" spans="1:256" s="540" customFormat="1" ht="26.25" customHeight="1">
      <c r="A13" s="839" t="s">
        <v>311</v>
      </c>
      <c r="B13" s="839"/>
      <c r="C13" s="839"/>
      <c r="D13" s="839"/>
      <c r="E13" s="839"/>
      <c r="F13" s="839"/>
      <c r="G13" s="839"/>
      <c r="H13" s="839"/>
      <c r="I13" s="839"/>
      <c r="J13" s="839"/>
      <c r="K13" s="839"/>
      <c r="L13" s="839"/>
      <c r="M13" s="839"/>
      <c r="N13" s="839"/>
    </row>
    <row r="14" spans="1:256" ht="15.75" customHeight="1">
      <c r="A14" s="4"/>
      <c r="B14" s="4"/>
      <c r="C14" s="4"/>
      <c r="D14" s="352"/>
      <c r="E14" s="4"/>
      <c r="F14" s="4"/>
      <c r="G14" s="4"/>
      <c r="H14" s="4"/>
      <c r="I14" s="4"/>
      <c r="J14" s="352"/>
      <c r="K14" s="835" t="s">
        <v>358</v>
      </c>
      <c r="L14" s="835"/>
      <c r="M14" s="835"/>
      <c r="N14" s="835"/>
    </row>
    <row r="15" spans="1:256" ht="122.25" customHeight="1">
      <c r="A15" s="391" t="s">
        <v>7</v>
      </c>
      <c r="B15" s="391" t="s">
        <v>267</v>
      </c>
      <c r="C15" s="391" t="s">
        <v>279</v>
      </c>
      <c r="D15" s="391" t="s">
        <v>281</v>
      </c>
      <c r="E15" s="391" t="s">
        <v>13</v>
      </c>
      <c r="F15" s="391" t="s">
        <v>312</v>
      </c>
      <c r="G15" s="443" t="s">
        <v>534</v>
      </c>
      <c r="H15" s="391" t="s">
        <v>316</v>
      </c>
      <c r="I15" s="444" t="s">
        <v>535</v>
      </c>
      <c r="J15" s="391" t="s">
        <v>8</v>
      </c>
      <c r="K15" s="16" t="s">
        <v>9</v>
      </c>
      <c r="L15" s="16" t="s">
        <v>10</v>
      </c>
      <c r="M15" s="391" t="s">
        <v>357</v>
      </c>
      <c r="N15" s="391" t="s">
        <v>356</v>
      </c>
    </row>
    <row r="16" spans="1:256" s="608" customFormat="1">
      <c r="A16" s="604">
        <v>1</v>
      </c>
      <c r="B16" s="604">
        <v>2</v>
      </c>
      <c r="C16" s="604">
        <v>3</v>
      </c>
      <c r="D16" s="605">
        <v>4</v>
      </c>
      <c r="E16" s="604">
        <v>5</v>
      </c>
      <c r="F16" s="604">
        <v>6</v>
      </c>
      <c r="G16" s="606">
        <v>7</v>
      </c>
      <c r="H16" s="604">
        <v>8</v>
      </c>
      <c r="I16" s="607">
        <v>9</v>
      </c>
      <c r="J16" s="605">
        <v>10</v>
      </c>
      <c r="K16" s="604">
        <v>11</v>
      </c>
      <c r="L16" s="604">
        <v>12</v>
      </c>
      <c r="M16" s="604">
        <v>13</v>
      </c>
      <c r="N16" s="604" t="s">
        <v>355</v>
      </c>
      <c r="IV16" s="608">
        <f>SUM(A16:IU16)</f>
        <v>91</v>
      </c>
    </row>
    <row r="17" spans="1:20" s="758" customFormat="1" ht="25.5" customHeight="1">
      <c r="A17" s="752"/>
      <c r="B17" s="753" t="s">
        <v>553</v>
      </c>
      <c r="C17" s="754"/>
      <c r="D17" s="755"/>
      <c r="E17" s="754"/>
      <c r="F17" s="754"/>
      <c r="G17" s="756"/>
      <c r="H17" s="754"/>
      <c r="I17" s="757"/>
      <c r="J17" s="755"/>
      <c r="K17" s="754"/>
      <c r="L17" s="754"/>
      <c r="M17" s="752"/>
      <c r="N17" s="754"/>
    </row>
    <row r="18" spans="1:20" ht="37.5" customHeight="1">
      <c r="A18" s="536">
        <v>1</v>
      </c>
      <c r="B18" s="546">
        <v>7000016118</v>
      </c>
      <c r="C18" s="546">
        <v>10</v>
      </c>
      <c r="D18" s="546" t="s">
        <v>554</v>
      </c>
      <c r="E18" s="546">
        <v>1000009713</v>
      </c>
      <c r="F18" s="546">
        <v>85389000</v>
      </c>
      <c r="G18" s="537"/>
      <c r="H18" s="546">
        <v>18</v>
      </c>
      <c r="I18" s="535"/>
      <c r="J18" s="538" t="s">
        <v>567</v>
      </c>
      <c r="K18" s="546" t="s">
        <v>301</v>
      </c>
      <c r="L18" s="546">
        <v>2</v>
      </c>
      <c r="M18" s="547"/>
      <c r="N18" s="548" t="str">
        <f>IF(M18=0, "INCLUDED", IF(ISERROR(M18*L18), M18, M18*L18))</f>
        <v>INCLUDED</v>
      </c>
      <c r="O18" s="635">
        <f>IF(N18="Included",0,N18)</f>
        <v>0</v>
      </c>
      <c r="P18" s="635">
        <f>IF( I18="",H18*(IF(N18="Included",0,N18))/100,I18*(IF(N18="Included",0,N18)))</f>
        <v>0</v>
      </c>
      <c r="Q18" s="640">
        <f>Discount!$H$36</f>
        <v>0</v>
      </c>
      <c r="R18" s="640">
        <f>Q18*O18</f>
        <v>0</v>
      </c>
      <c r="S18" s="640">
        <f>IF(I18="",H18*R18/100,I18*R18)</f>
        <v>0</v>
      </c>
      <c r="T18" s="768">
        <f>M18*L18</f>
        <v>0</v>
      </c>
    </row>
    <row r="19" spans="1:20" ht="38.25" customHeight="1">
      <c r="A19" s="459">
        <v>2</v>
      </c>
      <c r="B19" s="546">
        <v>7000016118</v>
      </c>
      <c r="C19" s="546">
        <v>30</v>
      </c>
      <c r="D19" s="546" t="s">
        <v>554</v>
      </c>
      <c r="E19" s="546">
        <v>1000004589</v>
      </c>
      <c r="F19" s="546">
        <v>85359030</v>
      </c>
      <c r="G19" s="534"/>
      <c r="H19" s="546">
        <v>18</v>
      </c>
      <c r="I19" s="535"/>
      <c r="J19" s="538" t="s">
        <v>568</v>
      </c>
      <c r="K19" s="546" t="s">
        <v>302</v>
      </c>
      <c r="L19" s="546">
        <v>1</v>
      </c>
      <c r="M19" s="547"/>
      <c r="N19" s="548" t="str">
        <f t="shared" ref="N19" si="0">IF(M19=0, "INCLUDED", IF(ISERROR(M19*L19), M19, M19*L19))</f>
        <v>INCLUDED</v>
      </c>
      <c r="O19" s="635">
        <f>IF(N19="Included",0,N19)</f>
        <v>0</v>
      </c>
      <c r="P19" s="635">
        <f>IF( I19="",H19*(IF(N19="Included",0,N19))/100,I19*(IF(N19="Included",0,N19)))</f>
        <v>0</v>
      </c>
      <c r="Q19" s="635">
        <f>Discount!$H$36</f>
        <v>0</v>
      </c>
      <c r="R19" s="640">
        <f>Q19*O19</f>
        <v>0</v>
      </c>
      <c r="S19" s="640">
        <f>IF(I19="",H19*R19/100,I19*R19)</f>
        <v>0</v>
      </c>
      <c r="T19" s="768">
        <f t="shared" ref="T19" si="1">M19*L19</f>
        <v>0</v>
      </c>
    </row>
    <row r="20" spans="1:20" ht="31.5">
      <c r="A20" s="536">
        <v>3</v>
      </c>
      <c r="B20" s="546">
        <v>7000016118</v>
      </c>
      <c r="C20" s="546">
        <v>60</v>
      </c>
      <c r="D20" s="546" t="s">
        <v>554</v>
      </c>
      <c r="E20" s="546">
        <v>1000004438</v>
      </c>
      <c r="F20" s="546">
        <v>85359030</v>
      </c>
      <c r="G20" s="534"/>
      <c r="H20" s="546">
        <v>18</v>
      </c>
      <c r="I20" s="535"/>
      <c r="J20" s="538" t="s">
        <v>569</v>
      </c>
      <c r="K20" s="546" t="s">
        <v>302</v>
      </c>
      <c r="L20" s="546">
        <v>1</v>
      </c>
      <c r="M20" s="547"/>
      <c r="N20" s="548" t="str">
        <f t="shared" ref="N20:N67" si="2">IF(M20=0, "INCLUDED", IF(ISERROR(M20*L20), M20, M20*L20))</f>
        <v>INCLUDED</v>
      </c>
      <c r="O20" s="635">
        <f>IF(N20="Included",0,N20)</f>
        <v>0</v>
      </c>
      <c r="P20" s="635">
        <f>IF( I20="",H20*(IF(N20="Included",0,N20))/100,I20*(IF(N20="Included",0,N20)))</f>
        <v>0</v>
      </c>
      <c r="Q20" s="635">
        <f>Discount!$H$36</f>
        <v>0</v>
      </c>
      <c r="R20" s="640">
        <f>Q20*O20</f>
        <v>0</v>
      </c>
      <c r="S20" s="640">
        <f>IF(I20="",H20*R20/100,I20*R20)</f>
        <v>0</v>
      </c>
      <c r="T20" s="768">
        <f t="shared" ref="T20:T67" si="3">M20*L20</f>
        <v>0</v>
      </c>
    </row>
    <row r="21" spans="1:20" ht="31.5">
      <c r="A21" s="459">
        <v>4</v>
      </c>
      <c r="B21" s="546">
        <v>7000016118</v>
      </c>
      <c r="C21" s="546">
        <v>20</v>
      </c>
      <c r="D21" s="546" t="s">
        <v>554</v>
      </c>
      <c r="E21" s="546">
        <v>1000032801</v>
      </c>
      <c r="F21" s="546">
        <v>85359030</v>
      </c>
      <c r="G21" s="534"/>
      <c r="H21" s="546">
        <v>18</v>
      </c>
      <c r="I21" s="535"/>
      <c r="J21" s="538" t="s">
        <v>570</v>
      </c>
      <c r="K21" s="546" t="s">
        <v>302</v>
      </c>
      <c r="L21" s="546">
        <v>2</v>
      </c>
      <c r="M21" s="547"/>
      <c r="N21" s="548" t="str">
        <f t="shared" si="2"/>
        <v>INCLUDED</v>
      </c>
      <c r="O21" s="635">
        <f t="shared" ref="O21:O67" si="4">IF(N21="Included",0,N21)</f>
        <v>0</v>
      </c>
      <c r="P21" s="635">
        <f t="shared" ref="P21:P53" si="5">IF( I21="",H21*(IF(N21="Included",0,N21))/100,I21*(IF(N21="Included",0,N21)))</f>
        <v>0</v>
      </c>
      <c r="Q21" s="635">
        <f>Discount!$H$36</f>
        <v>0</v>
      </c>
      <c r="R21" s="640">
        <f t="shared" ref="R21:R67" si="6">Q21*O21</f>
        <v>0</v>
      </c>
      <c r="S21" s="640">
        <f t="shared" ref="S21:S67" si="7">IF(I21="",H21*R21/100,I21*R21)</f>
        <v>0</v>
      </c>
      <c r="T21" s="768">
        <f t="shared" si="3"/>
        <v>0</v>
      </c>
    </row>
    <row r="22" spans="1:20" ht="62.25" customHeight="1">
      <c r="A22" s="536">
        <v>5</v>
      </c>
      <c r="B22" s="546">
        <v>7000016118</v>
      </c>
      <c r="C22" s="546">
        <v>40</v>
      </c>
      <c r="D22" s="546" t="s">
        <v>554</v>
      </c>
      <c r="E22" s="546">
        <v>1000032793</v>
      </c>
      <c r="F22" s="546">
        <v>85389000</v>
      </c>
      <c r="G22" s="534"/>
      <c r="H22" s="546">
        <v>18</v>
      </c>
      <c r="I22" s="535"/>
      <c r="J22" s="538" t="s">
        <v>571</v>
      </c>
      <c r="K22" s="546" t="s">
        <v>302</v>
      </c>
      <c r="L22" s="546">
        <v>3</v>
      </c>
      <c r="M22" s="547"/>
      <c r="N22" s="548" t="str">
        <f t="shared" si="2"/>
        <v>INCLUDED</v>
      </c>
      <c r="O22" s="635">
        <f t="shared" si="4"/>
        <v>0</v>
      </c>
      <c r="P22" s="635">
        <f t="shared" si="5"/>
        <v>0</v>
      </c>
      <c r="Q22" s="635">
        <f>Discount!$H$36</f>
        <v>0</v>
      </c>
      <c r="R22" s="640">
        <f t="shared" si="6"/>
        <v>0</v>
      </c>
      <c r="S22" s="640">
        <f t="shared" si="7"/>
        <v>0</v>
      </c>
      <c r="T22" s="768">
        <f t="shared" si="3"/>
        <v>0</v>
      </c>
    </row>
    <row r="23" spans="1:20" ht="57" customHeight="1">
      <c r="A23" s="459">
        <v>6</v>
      </c>
      <c r="B23" s="546">
        <v>7000016118</v>
      </c>
      <c r="C23" s="546">
        <v>50</v>
      </c>
      <c r="D23" s="546" t="s">
        <v>554</v>
      </c>
      <c r="E23" s="546">
        <v>1000004282</v>
      </c>
      <c r="F23" s="546">
        <v>85389000</v>
      </c>
      <c r="G23" s="534"/>
      <c r="H23" s="546">
        <v>18</v>
      </c>
      <c r="I23" s="535"/>
      <c r="J23" s="538" t="s">
        <v>572</v>
      </c>
      <c r="K23" s="546" t="s">
        <v>478</v>
      </c>
      <c r="L23" s="546">
        <v>1500</v>
      </c>
      <c r="M23" s="547"/>
      <c r="N23" s="548" t="str">
        <f t="shared" si="2"/>
        <v>INCLUDED</v>
      </c>
      <c r="O23" s="635">
        <f t="shared" si="4"/>
        <v>0</v>
      </c>
      <c r="P23" s="635">
        <f t="shared" si="5"/>
        <v>0</v>
      </c>
      <c r="Q23" s="635">
        <f>Discount!$H$36</f>
        <v>0</v>
      </c>
      <c r="R23" s="640">
        <f t="shared" si="6"/>
        <v>0</v>
      </c>
      <c r="S23" s="640">
        <f t="shared" si="7"/>
        <v>0</v>
      </c>
      <c r="T23" s="768">
        <f t="shared" si="3"/>
        <v>0</v>
      </c>
    </row>
    <row r="24" spans="1:20" ht="53.25" customHeight="1">
      <c r="A24" s="536">
        <v>7</v>
      </c>
      <c r="B24" s="546">
        <v>7000016118</v>
      </c>
      <c r="C24" s="546">
        <v>70</v>
      </c>
      <c r="D24" s="546" t="s">
        <v>555</v>
      </c>
      <c r="E24" s="546">
        <v>1000004401</v>
      </c>
      <c r="F24" s="546">
        <v>85462040</v>
      </c>
      <c r="G24" s="534"/>
      <c r="H24" s="546">
        <v>18</v>
      </c>
      <c r="I24" s="535"/>
      <c r="J24" s="538" t="s">
        <v>480</v>
      </c>
      <c r="K24" s="546" t="s">
        <v>301</v>
      </c>
      <c r="L24" s="546">
        <v>3</v>
      </c>
      <c r="M24" s="547"/>
      <c r="N24" s="548" t="str">
        <f t="shared" si="2"/>
        <v>INCLUDED</v>
      </c>
      <c r="O24" s="635">
        <f t="shared" si="4"/>
        <v>0</v>
      </c>
      <c r="P24" s="635">
        <f t="shared" si="5"/>
        <v>0</v>
      </c>
      <c r="Q24" s="635">
        <f>Discount!$H$36</f>
        <v>0</v>
      </c>
      <c r="R24" s="640">
        <f t="shared" si="6"/>
        <v>0</v>
      </c>
      <c r="S24" s="640">
        <f t="shared" si="7"/>
        <v>0</v>
      </c>
      <c r="T24" s="768">
        <f t="shared" si="3"/>
        <v>0</v>
      </c>
    </row>
    <row r="25" spans="1:20" ht="57" customHeight="1">
      <c r="A25" s="459">
        <v>8</v>
      </c>
      <c r="B25" s="546">
        <v>7000016118</v>
      </c>
      <c r="C25" s="546">
        <v>80</v>
      </c>
      <c r="D25" s="546" t="s">
        <v>555</v>
      </c>
      <c r="E25" s="546">
        <v>1000020420</v>
      </c>
      <c r="F25" s="546">
        <v>85354010</v>
      </c>
      <c r="G25" s="534"/>
      <c r="H25" s="546">
        <v>18</v>
      </c>
      <c r="I25" s="535"/>
      <c r="J25" s="538" t="s">
        <v>573</v>
      </c>
      <c r="K25" s="546" t="s">
        <v>301</v>
      </c>
      <c r="L25" s="546">
        <v>3</v>
      </c>
      <c r="M25" s="547"/>
      <c r="N25" s="548" t="str">
        <f t="shared" si="2"/>
        <v>INCLUDED</v>
      </c>
      <c r="O25" s="635">
        <f t="shared" si="4"/>
        <v>0</v>
      </c>
      <c r="P25" s="635">
        <f t="shared" si="5"/>
        <v>0</v>
      </c>
      <c r="Q25" s="635">
        <f>Discount!$H$36</f>
        <v>0</v>
      </c>
      <c r="R25" s="640">
        <f t="shared" si="6"/>
        <v>0</v>
      </c>
      <c r="S25" s="640">
        <f t="shared" si="7"/>
        <v>0</v>
      </c>
      <c r="T25" s="768">
        <f t="shared" si="3"/>
        <v>0</v>
      </c>
    </row>
    <row r="26" spans="1:20" ht="141.75" customHeight="1">
      <c r="A26" s="536">
        <v>9</v>
      </c>
      <c r="B26" s="546">
        <v>7000016118</v>
      </c>
      <c r="C26" s="546">
        <v>90</v>
      </c>
      <c r="D26" s="546" t="s">
        <v>556</v>
      </c>
      <c r="E26" s="546">
        <v>1000011334</v>
      </c>
      <c r="F26" s="546">
        <v>72169990</v>
      </c>
      <c r="G26" s="534"/>
      <c r="H26" s="546">
        <v>18</v>
      </c>
      <c r="I26" s="535"/>
      <c r="J26" s="538" t="s">
        <v>574</v>
      </c>
      <c r="K26" s="546" t="s">
        <v>302</v>
      </c>
      <c r="L26" s="546">
        <v>1</v>
      </c>
      <c r="M26" s="547"/>
      <c r="N26" s="548" t="str">
        <f t="shared" si="2"/>
        <v>INCLUDED</v>
      </c>
      <c r="O26" s="635">
        <f t="shared" si="4"/>
        <v>0</v>
      </c>
      <c r="P26" s="635">
        <f t="shared" si="5"/>
        <v>0</v>
      </c>
      <c r="Q26" s="635">
        <f>Discount!$H$36</f>
        <v>0</v>
      </c>
      <c r="R26" s="640">
        <f t="shared" si="6"/>
        <v>0</v>
      </c>
      <c r="S26" s="640">
        <f t="shared" si="7"/>
        <v>0</v>
      </c>
      <c r="T26" s="768">
        <f t="shared" si="3"/>
        <v>0</v>
      </c>
    </row>
    <row r="27" spans="1:20" ht="31.5">
      <c r="A27" s="459">
        <v>10</v>
      </c>
      <c r="B27" s="546">
        <v>7000016118</v>
      </c>
      <c r="C27" s="546">
        <v>100</v>
      </c>
      <c r="D27" s="546" t="s">
        <v>556</v>
      </c>
      <c r="E27" s="546">
        <v>1000004302</v>
      </c>
      <c r="F27" s="546">
        <v>72159090</v>
      </c>
      <c r="G27" s="534"/>
      <c r="H27" s="546">
        <v>18</v>
      </c>
      <c r="I27" s="535"/>
      <c r="J27" s="538" t="s">
        <v>506</v>
      </c>
      <c r="K27" s="546" t="s">
        <v>478</v>
      </c>
      <c r="L27" s="546">
        <v>200</v>
      </c>
      <c r="M27" s="547"/>
      <c r="N27" s="548" t="str">
        <f t="shared" si="2"/>
        <v>INCLUDED</v>
      </c>
      <c r="O27" s="635">
        <f t="shared" si="4"/>
        <v>0</v>
      </c>
      <c r="P27" s="635">
        <f t="shared" si="5"/>
        <v>0</v>
      </c>
      <c r="Q27" s="635">
        <f>Discount!$H$36</f>
        <v>0</v>
      </c>
      <c r="R27" s="640">
        <f t="shared" si="6"/>
        <v>0</v>
      </c>
      <c r="S27" s="640">
        <f t="shared" si="7"/>
        <v>0</v>
      </c>
      <c r="T27" s="768">
        <f t="shared" si="3"/>
        <v>0</v>
      </c>
    </row>
    <row r="28" spans="1:20" ht="47.25">
      <c r="A28" s="536">
        <v>11</v>
      </c>
      <c r="B28" s="546">
        <v>7000016118</v>
      </c>
      <c r="C28" s="546">
        <v>110</v>
      </c>
      <c r="D28" s="546" t="s">
        <v>557</v>
      </c>
      <c r="E28" s="546">
        <v>1000002146</v>
      </c>
      <c r="F28" s="546">
        <v>85371000</v>
      </c>
      <c r="G28" s="534"/>
      <c r="H28" s="546">
        <v>18</v>
      </c>
      <c r="I28" s="535"/>
      <c r="J28" s="538" t="s">
        <v>493</v>
      </c>
      <c r="K28" s="546" t="s">
        <v>302</v>
      </c>
      <c r="L28" s="546">
        <v>1</v>
      </c>
      <c r="M28" s="547"/>
      <c r="N28" s="548" t="str">
        <f t="shared" si="2"/>
        <v>INCLUDED</v>
      </c>
      <c r="O28" s="635">
        <f t="shared" si="4"/>
        <v>0</v>
      </c>
      <c r="P28" s="635">
        <f t="shared" si="5"/>
        <v>0</v>
      </c>
      <c r="Q28" s="635">
        <f>Discount!$H$36</f>
        <v>0</v>
      </c>
      <c r="R28" s="640">
        <f t="shared" si="6"/>
        <v>0</v>
      </c>
      <c r="S28" s="640">
        <f t="shared" si="7"/>
        <v>0</v>
      </c>
      <c r="T28" s="768">
        <f t="shared" si="3"/>
        <v>0</v>
      </c>
    </row>
    <row r="29" spans="1:20" ht="31.5">
      <c r="A29" s="459">
        <v>12</v>
      </c>
      <c r="B29" s="546">
        <v>7000016118</v>
      </c>
      <c r="C29" s="546">
        <v>120</v>
      </c>
      <c r="D29" s="546" t="s">
        <v>557</v>
      </c>
      <c r="E29" s="546">
        <v>1000002163</v>
      </c>
      <c r="F29" s="546">
        <v>85371000</v>
      </c>
      <c r="G29" s="534"/>
      <c r="H29" s="546">
        <v>18</v>
      </c>
      <c r="I29" s="535"/>
      <c r="J29" s="538" t="s">
        <v>481</v>
      </c>
      <c r="K29" s="546" t="s">
        <v>301</v>
      </c>
      <c r="L29" s="546">
        <v>2</v>
      </c>
      <c r="M29" s="547"/>
      <c r="N29" s="548" t="str">
        <f t="shared" si="2"/>
        <v>INCLUDED</v>
      </c>
      <c r="O29" s="635">
        <f t="shared" si="4"/>
        <v>0</v>
      </c>
      <c r="P29" s="635">
        <f t="shared" si="5"/>
        <v>0</v>
      </c>
      <c r="Q29" s="635">
        <f>Discount!$H$36</f>
        <v>0</v>
      </c>
      <c r="R29" s="640">
        <f t="shared" si="6"/>
        <v>0</v>
      </c>
      <c r="S29" s="640">
        <f t="shared" si="7"/>
        <v>0</v>
      </c>
      <c r="T29" s="768">
        <f t="shared" si="3"/>
        <v>0</v>
      </c>
    </row>
    <row r="30" spans="1:20" ht="31.5">
      <c r="A30" s="536">
        <v>13</v>
      </c>
      <c r="B30" s="546">
        <v>7000016118</v>
      </c>
      <c r="C30" s="546">
        <v>130</v>
      </c>
      <c r="D30" s="546" t="s">
        <v>557</v>
      </c>
      <c r="E30" s="546">
        <v>1000004274</v>
      </c>
      <c r="F30" s="546">
        <v>85371000</v>
      </c>
      <c r="G30" s="534"/>
      <c r="H30" s="546">
        <v>18</v>
      </c>
      <c r="I30" s="535"/>
      <c r="J30" s="538" t="s">
        <v>492</v>
      </c>
      <c r="K30" s="546" t="s">
        <v>301</v>
      </c>
      <c r="L30" s="546">
        <v>1</v>
      </c>
      <c r="M30" s="547"/>
      <c r="N30" s="548" t="str">
        <f t="shared" si="2"/>
        <v>INCLUDED</v>
      </c>
      <c r="O30" s="635">
        <f t="shared" si="4"/>
        <v>0</v>
      </c>
      <c r="P30" s="635">
        <f t="shared" si="5"/>
        <v>0</v>
      </c>
      <c r="Q30" s="635">
        <f>Discount!$H$36</f>
        <v>0</v>
      </c>
      <c r="R30" s="640">
        <f t="shared" si="6"/>
        <v>0</v>
      </c>
      <c r="S30" s="640">
        <f t="shared" si="7"/>
        <v>0</v>
      </c>
      <c r="T30" s="768">
        <f t="shared" si="3"/>
        <v>0</v>
      </c>
    </row>
    <row r="31" spans="1:20" ht="31.5">
      <c r="A31" s="459">
        <v>14</v>
      </c>
      <c r="B31" s="546">
        <v>7000016118</v>
      </c>
      <c r="C31" s="546">
        <v>140</v>
      </c>
      <c r="D31" s="546" t="s">
        <v>557</v>
      </c>
      <c r="E31" s="546">
        <v>1000001168</v>
      </c>
      <c r="F31" s="546">
        <v>85371000</v>
      </c>
      <c r="G31" s="534"/>
      <c r="H31" s="546">
        <v>18</v>
      </c>
      <c r="I31" s="535"/>
      <c r="J31" s="538" t="s">
        <v>494</v>
      </c>
      <c r="K31" s="546" t="s">
        <v>301</v>
      </c>
      <c r="L31" s="546">
        <v>1</v>
      </c>
      <c r="M31" s="547"/>
      <c r="N31" s="548" t="str">
        <f t="shared" si="2"/>
        <v>INCLUDED</v>
      </c>
      <c r="O31" s="635">
        <f t="shared" si="4"/>
        <v>0</v>
      </c>
      <c r="P31" s="635">
        <f t="shared" si="5"/>
        <v>0</v>
      </c>
      <c r="Q31" s="635">
        <f>Discount!$H$36</f>
        <v>0</v>
      </c>
      <c r="R31" s="640">
        <f t="shared" si="6"/>
        <v>0</v>
      </c>
      <c r="S31" s="640">
        <f t="shared" si="7"/>
        <v>0</v>
      </c>
      <c r="T31" s="768">
        <f t="shared" si="3"/>
        <v>0</v>
      </c>
    </row>
    <row r="32" spans="1:20" ht="47.25">
      <c r="A32" s="536">
        <v>15</v>
      </c>
      <c r="B32" s="546">
        <v>7000016118</v>
      </c>
      <c r="C32" s="546">
        <v>150</v>
      </c>
      <c r="D32" s="546" t="s">
        <v>557</v>
      </c>
      <c r="E32" s="546">
        <v>1000001167</v>
      </c>
      <c r="F32" s="546">
        <v>85371000</v>
      </c>
      <c r="G32" s="534"/>
      <c r="H32" s="546">
        <v>18</v>
      </c>
      <c r="I32" s="535"/>
      <c r="J32" s="538" t="s">
        <v>541</v>
      </c>
      <c r="K32" s="546" t="s">
        <v>302</v>
      </c>
      <c r="L32" s="546">
        <v>1</v>
      </c>
      <c r="M32" s="547"/>
      <c r="N32" s="548" t="str">
        <f t="shared" si="2"/>
        <v>INCLUDED</v>
      </c>
      <c r="O32" s="635">
        <f t="shared" si="4"/>
        <v>0</v>
      </c>
      <c r="P32" s="635">
        <f t="shared" si="5"/>
        <v>0</v>
      </c>
      <c r="Q32" s="635">
        <f>Discount!$H$36</f>
        <v>0</v>
      </c>
      <c r="R32" s="640">
        <f t="shared" si="6"/>
        <v>0</v>
      </c>
      <c r="S32" s="640">
        <f t="shared" si="7"/>
        <v>0</v>
      </c>
      <c r="T32" s="768">
        <f t="shared" si="3"/>
        <v>0</v>
      </c>
    </row>
    <row r="33" spans="1:20" ht="31.5">
      <c r="A33" s="459">
        <v>16</v>
      </c>
      <c r="B33" s="546">
        <v>7000016118</v>
      </c>
      <c r="C33" s="546">
        <v>160</v>
      </c>
      <c r="D33" s="546" t="s">
        <v>558</v>
      </c>
      <c r="E33" s="546">
        <v>1000003409</v>
      </c>
      <c r="F33" s="546">
        <v>85371000</v>
      </c>
      <c r="G33" s="534"/>
      <c r="H33" s="546">
        <v>18</v>
      </c>
      <c r="I33" s="535"/>
      <c r="J33" s="538" t="s">
        <v>483</v>
      </c>
      <c r="K33" s="546" t="s">
        <v>301</v>
      </c>
      <c r="L33" s="546">
        <v>1</v>
      </c>
      <c r="M33" s="547"/>
      <c r="N33" s="548" t="str">
        <f t="shared" si="2"/>
        <v>INCLUDED</v>
      </c>
      <c r="O33" s="635">
        <f t="shared" si="4"/>
        <v>0</v>
      </c>
      <c r="P33" s="635">
        <f t="shared" si="5"/>
        <v>0</v>
      </c>
      <c r="Q33" s="635">
        <f>Discount!$H$36</f>
        <v>0</v>
      </c>
      <c r="R33" s="640">
        <f t="shared" si="6"/>
        <v>0</v>
      </c>
      <c r="S33" s="640">
        <f t="shared" si="7"/>
        <v>0</v>
      </c>
      <c r="T33" s="768">
        <f t="shared" si="3"/>
        <v>0</v>
      </c>
    </row>
    <row r="34" spans="1:20" ht="31.5">
      <c r="A34" s="536">
        <v>17</v>
      </c>
      <c r="B34" s="546">
        <v>7000016118</v>
      </c>
      <c r="C34" s="546">
        <v>180</v>
      </c>
      <c r="D34" s="546" t="s">
        <v>558</v>
      </c>
      <c r="E34" s="546">
        <v>1000003411</v>
      </c>
      <c r="F34" s="546">
        <v>85371000</v>
      </c>
      <c r="G34" s="534"/>
      <c r="H34" s="546">
        <v>18</v>
      </c>
      <c r="I34" s="535"/>
      <c r="J34" s="538" t="s">
        <v>482</v>
      </c>
      <c r="K34" s="546" t="s">
        <v>301</v>
      </c>
      <c r="L34" s="546">
        <v>1</v>
      </c>
      <c r="M34" s="547"/>
      <c r="N34" s="548" t="str">
        <f t="shared" si="2"/>
        <v>INCLUDED</v>
      </c>
      <c r="O34" s="635">
        <f t="shared" si="4"/>
        <v>0</v>
      </c>
      <c r="P34" s="635">
        <f t="shared" si="5"/>
        <v>0</v>
      </c>
      <c r="Q34" s="635">
        <f>Discount!$H$36</f>
        <v>0</v>
      </c>
      <c r="R34" s="640">
        <f t="shared" si="6"/>
        <v>0</v>
      </c>
      <c r="S34" s="640">
        <f t="shared" si="7"/>
        <v>0</v>
      </c>
      <c r="T34" s="768">
        <f t="shared" si="3"/>
        <v>0</v>
      </c>
    </row>
    <row r="35" spans="1:20" ht="42" customHeight="1">
      <c r="A35" s="459">
        <v>18</v>
      </c>
      <c r="B35" s="546">
        <v>7000016118</v>
      </c>
      <c r="C35" s="546">
        <v>170</v>
      </c>
      <c r="D35" s="546" t="s">
        <v>558</v>
      </c>
      <c r="E35" s="546">
        <v>1000001333</v>
      </c>
      <c r="F35" s="546">
        <v>85371000</v>
      </c>
      <c r="G35" s="534"/>
      <c r="H35" s="546">
        <v>18</v>
      </c>
      <c r="I35" s="535"/>
      <c r="J35" s="538" t="s">
        <v>495</v>
      </c>
      <c r="K35" s="546" t="s">
        <v>301</v>
      </c>
      <c r="L35" s="546">
        <v>1</v>
      </c>
      <c r="M35" s="547"/>
      <c r="N35" s="548" t="str">
        <f t="shared" si="2"/>
        <v>INCLUDED</v>
      </c>
      <c r="O35" s="635">
        <f t="shared" si="4"/>
        <v>0</v>
      </c>
      <c r="P35" s="635">
        <f t="shared" si="5"/>
        <v>0</v>
      </c>
      <c r="Q35" s="635">
        <f>Discount!$H$36</f>
        <v>0</v>
      </c>
      <c r="R35" s="640">
        <f t="shared" si="6"/>
        <v>0</v>
      </c>
      <c r="S35" s="640">
        <f t="shared" si="7"/>
        <v>0</v>
      </c>
      <c r="T35" s="768">
        <f t="shared" si="3"/>
        <v>0</v>
      </c>
    </row>
    <row r="36" spans="1:20" ht="86.25" customHeight="1">
      <c r="A36" s="536">
        <v>19</v>
      </c>
      <c r="B36" s="546">
        <v>7000016118</v>
      </c>
      <c r="C36" s="546">
        <v>190</v>
      </c>
      <c r="D36" s="546" t="s">
        <v>559</v>
      </c>
      <c r="E36" s="546">
        <v>1000012069</v>
      </c>
      <c r="F36" s="546">
        <v>84248990</v>
      </c>
      <c r="G36" s="534"/>
      <c r="H36" s="546">
        <v>18</v>
      </c>
      <c r="I36" s="535"/>
      <c r="J36" s="538" t="s">
        <v>496</v>
      </c>
      <c r="K36" s="546" t="s">
        <v>302</v>
      </c>
      <c r="L36" s="546">
        <v>1</v>
      </c>
      <c r="M36" s="547"/>
      <c r="N36" s="548" t="str">
        <f t="shared" si="2"/>
        <v>INCLUDED</v>
      </c>
      <c r="O36" s="635">
        <f t="shared" si="4"/>
        <v>0</v>
      </c>
      <c r="P36" s="635">
        <f t="shared" si="5"/>
        <v>0</v>
      </c>
      <c r="Q36" s="635">
        <f>Discount!$H$36</f>
        <v>0</v>
      </c>
      <c r="R36" s="640">
        <f t="shared" si="6"/>
        <v>0</v>
      </c>
      <c r="S36" s="640">
        <f t="shared" si="7"/>
        <v>0</v>
      </c>
      <c r="T36" s="768">
        <f t="shared" si="3"/>
        <v>0</v>
      </c>
    </row>
    <row r="37" spans="1:20" ht="47.25">
      <c r="A37" s="459">
        <v>20</v>
      </c>
      <c r="B37" s="546">
        <v>7000016118</v>
      </c>
      <c r="C37" s="546">
        <v>200</v>
      </c>
      <c r="D37" s="546" t="s">
        <v>559</v>
      </c>
      <c r="E37" s="546">
        <v>1000012037</v>
      </c>
      <c r="F37" s="546">
        <v>84819090</v>
      </c>
      <c r="G37" s="534"/>
      <c r="H37" s="546">
        <v>18</v>
      </c>
      <c r="I37" s="535"/>
      <c r="J37" s="538" t="s">
        <v>575</v>
      </c>
      <c r="K37" s="546" t="s">
        <v>302</v>
      </c>
      <c r="L37" s="546">
        <v>1</v>
      </c>
      <c r="M37" s="547"/>
      <c r="N37" s="548" t="str">
        <f t="shared" si="2"/>
        <v>INCLUDED</v>
      </c>
      <c r="O37" s="635">
        <f t="shared" si="4"/>
        <v>0</v>
      </c>
      <c r="P37" s="635">
        <f t="shared" si="5"/>
        <v>0</v>
      </c>
      <c r="Q37" s="635">
        <f>Discount!$H$36</f>
        <v>0</v>
      </c>
      <c r="R37" s="640">
        <f t="shared" si="6"/>
        <v>0</v>
      </c>
      <c r="S37" s="640">
        <f t="shared" si="7"/>
        <v>0</v>
      </c>
      <c r="T37" s="768">
        <f t="shared" si="3"/>
        <v>0</v>
      </c>
    </row>
    <row r="38" spans="1:20" ht="31.5">
      <c r="A38" s="536">
        <v>21</v>
      </c>
      <c r="B38" s="546">
        <v>7000016118</v>
      </c>
      <c r="C38" s="546">
        <v>210</v>
      </c>
      <c r="D38" s="546" t="s">
        <v>540</v>
      </c>
      <c r="E38" s="546">
        <v>1000014547</v>
      </c>
      <c r="F38" s="546">
        <v>85371000</v>
      </c>
      <c r="G38" s="534"/>
      <c r="H38" s="546">
        <v>18</v>
      </c>
      <c r="I38" s="535"/>
      <c r="J38" s="538" t="s">
        <v>576</v>
      </c>
      <c r="K38" s="546" t="s">
        <v>301</v>
      </c>
      <c r="L38" s="546">
        <v>1</v>
      </c>
      <c r="M38" s="547"/>
      <c r="N38" s="548" t="str">
        <f t="shared" si="2"/>
        <v>INCLUDED</v>
      </c>
      <c r="O38" s="635">
        <f t="shared" si="4"/>
        <v>0</v>
      </c>
      <c r="P38" s="635">
        <f t="shared" si="5"/>
        <v>0</v>
      </c>
      <c r="Q38" s="635">
        <f>Discount!$H$36</f>
        <v>0</v>
      </c>
      <c r="R38" s="640">
        <f t="shared" si="6"/>
        <v>0</v>
      </c>
      <c r="S38" s="640">
        <f t="shared" si="7"/>
        <v>0</v>
      </c>
      <c r="T38" s="768">
        <f t="shared" si="3"/>
        <v>0</v>
      </c>
    </row>
    <row r="39" spans="1:20" ht="31.5">
      <c r="A39" s="459">
        <v>22</v>
      </c>
      <c r="B39" s="546">
        <v>7000016118</v>
      </c>
      <c r="C39" s="546">
        <v>220</v>
      </c>
      <c r="D39" s="546" t="s">
        <v>540</v>
      </c>
      <c r="E39" s="546">
        <v>1000020262</v>
      </c>
      <c r="F39" s="546">
        <v>85371000</v>
      </c>
      <c r="G39" s="534"/>
      <c r="H39" s="546">
        <v>18</v>
      </c>
      <c r="I39" s="535"/>
      <c r="J39" s="538" t="s">
        <v>484</v>
      </c>
      <c r="K39" s="546" t="s">
        <v>301</v>
      </c>
      <c r="L39" s="546">
        <v>1</v>
      </c>
      <c r="M39" s="547"/>
      <c r="N39" s="548" t="str">
        <f t="shared" si="2"/>
        <v>INCLUDED</v>
      </c>
      <c r="O39" s="635">
        <f t="shared" si="4"/>
        <v>0</v>
      </c>
      <c r="P39" s="635">
        <f t="shared" si="5"/>
        <v>0</v>
      </c>
      <c r="Q39" s="635">
        <f>Discount!$H$36</f>
        <v>0</v>
      </c>
      <c r="R39" s="640">
        <f t="shared" si="6"/>
        <v>0</v>
      </c>
      <c r="S39" s="640">
        <f t="shared" si="7"/>
        <v>0</v>
      </c>
      <c r="T39" s="768">
        <f t="shared" si="3"/>
        <v>0</v>
      </c>
    </row>
    <row r="40" spans="1:20" ht="41.25" customHeight="1">
      <c r="A40" s="536">
        <v>23</v>
      </c>
      <c r="B40" s="546">
        <v>7000016118</v>
      </c>
      <c r="C40" s="546">
        <v>230</v>
      </c>
      <c r="D40" s="546" t="s">
        <v>540</v>
      </c>
      <c r="E40" s="546">
        <v>1000014535</v>
      </c>
      <c r="F40" s="546">
        <v>94054010</v>
      </c>
      <c r="G40" s="534"/>
      <c r="H40" s="546">
        <v>18</v>
      </c>
      <c r="I40" s="535"/>
      <c r="J40" s="538" t="s">
        <v>577</v>
      </c>
      <c r="K40" s="546" t="s">
        <v>301</v>
      </c>
      <c r="L40" s="546">
        <v>2</v>
      </c>
      <c r="M40" s="547"/>
      <c r="N40" s="548" t="str">
        <f t="shared" si="2"/>
        <v>INCLUDED</v>
      </c>
      <c r="O40" s="635">
        <f t="shared" si="4"/>
        <v>0</v>
      </c>
      <c r="P40" s="635">
        <f t="shared" si="5"/>
        <v>0</v>
      </c>
      <c r="Q40" s="635">
        <f>Discount!$H$36</f>
        <v>0</v>
      </c>
      <c r="R40" s="640">
        <f t="shared" si="6"/>
        <v>0</v>
      </c>
      <c r="S40" s="640">
        <f t="shared" si="7"/>
        <v>0</v>
      </c>
      <c r="T40" s="768">
        <f t="shared" si="3"/>
        <v>0</v>
      </c>
    </row>
    <row r="41" spans="1:20" ht="54" customHeight="1">
      <c r="A41" s="459">
        <v>24</v>
      </c>
      <c r="B41" s="546">
        <v>7000016118</v>
      </c>
      <c r="C41" s="546">
        <v>240</v>
      </c>
      <c r="D41" s="546" t="s">
        <v>540</v>
      </c>
      <c r="E41" s="546">
        <v>1000014536</v>
      </c>
      <c r="F41" s="546">
        <v>94054010</v>
      </c>
      <c r="G41" s="534"/>
      <c r="H41" s="546">
        <v>18</v>
      </c>
      <c r="I41" s="535"/>
      <c r="J41" s="538" t="s">
        <v>578</v>
      </c>
      <c r="K41" s="546" t="s">
        <v>301</v>
      </c>
      <c r="L41" s="546">
        <v>2</v>
      </c>
      <c r="M41" s="547"/>
      <c r="N41" s="548" t="str">
        <f t="shared" si="2"/>
        <v>INCLUDED</v>
      </c>
      <c r="O41" s="635">
        <f t="shared" si="4"/>
        <v>0</v>
      </c>
      <c r="P41" s="635">
        <f t="shared" si="5"/>
        <v>0</v>
      </c>
      <c r="Q41" s="635">
        <f>Discount!$H$36</f>
        <v>0</v>
      </c>
      <c r="R41" s="640">
        <f t="shared" si="6"/>
        <v>0</v>
      </c>
      <c r="S41" s="640">
        <f t="shared" si="7"/>
        <v>0</v>
      </c>
      <c r="T41" s="768">
        <f t="shared" si="3"/>
        <v>0</v>
      </c>
    </row>
    <row r="42" spans="1:20" ht="41.25" customHeight="1">
      <c r="A42" s="536">
        <v>25</v>
      </c>
      <c r="B42" s="546">
        <v>7000016118</v>
      </c>
      <c r="C42" s="546">
        <v>250</v>
      </c>
      <c r="D42" s="546" t="s">
        <v>540</v>
      </c>
      <c r="E42" s="546">
        <v>1000004952</v>
      </c>
      <c r="F42" s="546">
        <v>94059900</v>
      </c>
      <c r="G42" s="534"/>
      <c r="H42" s="546">
        <v>18</v>
      </c>
      <c r="I42" s="535"/>
      <c r="J42" s="538" t="s">
        <v>579</v>
      </c>
      <c r="K42" s="546" t="s">
        <v>301</v>
      </c>
      <c r="L42" s="546">
        <v>1</v>
      </c>
      <c r="M42" s="547"/>
      <c r="N42" s="548" t="str">
        <f t="shared" si="2"/>
        <v>INCLUDED</v>
      </c>
      <c r="O42" s="635">
        <f t="shared" si="4"/>
        <v>0</v>
      </c>
      <c r="P42" s="635">
        <f t="shared" si="5"/>
        <v>0</v>
      </c>
      <c r="Q42" s="635">
        <f>Discount!$H$36</f>
        <v>0</v>
      </c>
      <c r="R42" s="640">
        <f t="shared" si="6"/>
        <v>0</v>
      </c>
      <c r="S42" s="640">
        <f t="shared" si="7"/>
        <v>0</v>
      </c>
      <c r="T42" s="768">
        <f t="shared" si="3"/>
        <v>0</v>
      </c>
    </row>
    <row r="43" spans="1:20" ht="36" customHeight="1">
      <c r="A43" s="459">
        <v>26</v>
      </c>
      <c r="B43" s="546">
        <v>7000016118</v>
      </c>
      <c r="C43" s="546">
        <v>260</v>
      </c>
      <c r="D43" s="546" t="s">
        <v>540</v>
      </c>
      <c r="E43" s="546">
        <v>1000028444</v>
      </c>
      <c r="F43" s="546">
        <v>94059900</v>
      </c>
      <c r="G43" s="534"/>
      <c r="H43" s="546">
        <v>18</v>
      </c>
      <c r="I43" s="535"/>
      <c r="J43" s="538" t="s">
        <v>580</v>
      </c>
      <c r="K43" s="546" t="s">
        <v>301</v>
      </c>
      <c r="L43" s="546">
        <v>1</v>
      </c>
      <c r="M43" s="547"/>
      <c r="N43" s="548" t="str">
        <f t="shared" si="2"/>
        <v>INCLUDED</v>
      </c>
      <c r="O43" s="635">
        <f t="shared" si="4"/>
        <v>0</v>
      </c>
      <c r="P43" s="635">
        <f t="shared" si="5"/>
        <v>0</v>
      </c>
      <c r="Q43" s="635">
        <f>Discount!$H$36</f>
        <v>0</v>
      </c>
      <c r="R43" s="640">
        <f t="shared" si="6"/>
        <v>0</v>
      </c>
      <c r="S43" s="640">
        <f t="shared" si="7"/>
        <v>0</v>
      </c>
      <c r="T43" s="768">
        <f t="shared" si="3"/>
        <v>0</v>
      </c>
    </row>
    <row r="44" spans="1:20" ht="39.75" customHeight="1">
      <c r="A44" s="536">
        <v>27</v>
      </c>
      <c r="B44" s="546">
        <v>7000016118</v>
      </c>
      <c r="C44" s="546">
        <v>400</v>
      </c>
      <c r="D44" s="546" t="s">
        <v>560</v>
      </c>
      <c r="E44" s="546">
        <v>1000000443</v>
      </c>
      <c r="F44" s="546">
        <v>85446020</v>
      </c>
      <c r="G44" s="534"/>
      <c r="H44" s="546">
        <v>18</v>
      </c>
      <c r="I44" s="535"/>
      <c r="J44" s="538" t="s">
        <v>486</v>
      </c>
      <c r="K44" s="546" t="s">
        <v>485</v>
      </c>
      <c r="L44" s="546">
        <v>1</v>
      </c>
      <c r="M44" s="547"/>
      <c r="N44" s="548" t="str">
        <f t="shared" si="2"/>
        <v>INCLUDED</v>
      </c>
      <c r="O44" s="635">
        <f t="shared" si="4"/>
        <v>0</v>
      </c>
      <c r="P44" s="635">
        <f t="shared" si="5"/>
        <v>0</v>
      </c>
      <c r="Q44" s="635">
        <f>Discount!$H$36</f>
        <v>0</v>
      </c>
      <c r="R44" s="640">
        <f t="shared" si="6"/>
        <v>0</v>
      </c>
      <c r="S44" s="640">
        <f t="shared" si="7"/>
        <v>0</v>
      </c>
      <c r="T44" s="768">
        <f t="shared" si="3"/>
        <v>0</v>
      </c>
    </row>
    <row r="45" spans="1:20" ht="132.75" customHeight="1">
      <c r="A45" s="459">
        <v>28</v>
      </c>
      <c r="B45" s="546">
        <v>7000016118</v>
      </c>
      <c r="C45" s="546">
        <v>410</v>
      </c>
      <c r="D45" s="546" t="s">
        <v>560</v>
      </c>
      <c r="E45" s="546">
        <v>1000000442</v>
      </c>
      <c r="F45" s="546">
        <v>85446020</v>
      </c>
      <c r="G45" s="534"/>
      <c r="H45" s="546">
        <v>18</v>
      </c>
      <c r="I45" s="535"/>
      <c r="J45" s="538" t="s">
        <v>487</v>
      </c>
      <c r="K45" s="546" t="s">
        <v>485</v>
      </c>
      <c r="L45" s="546">
        <v>1</v>
      </c>
      <c r="M45" s="547"/>
      <c r="N45" s="548" t="str">
        <f t="shared" si="2"/>
        <v>INCLUDED</v>
      </c>
      <c r="O45" s="635">
        <f t="shared" si="4"/>
        <v>0</v>
      </c>
      <c r="P45" s="635">
        <f t="shared" si="5"/>
        <v>0</v>
      </c>
      <c r="Q45" s="635">
        <f>Discount!$H$36</f>
        <v>0</v>
      </c>
      <c r="R45" s="640">
        <f t="shared" si="6"/>
        <v>0</v>
      </c>
      <c r="S45" s="640">
        <f t="shared" si="7"/>
        <v>0</v>
      </c>
      <c r="T45" s="768">
        <f t="shared" si="3"/>
        <v>0</v>
      </c>
    </row>
    <row r="46" spans="1:20" ht="31.5">
      <c r="A46" s="536">
        <v>29</v>
      </c>
      <c r="B46" s="546">
        <v>7000016118</v>
      </c>
      <c r="C46" s="546">
        <v>420</v>
      </c>
      <c r="D46" s="546" t="s">
        <v>560</v>
      </c>
      <c r="E46" s="546">
        <v>1000031951</v>
      </c>
      <c r="F46" s="546">
        <v>85446090</v>
      </c>
      <c r="G46" s="534"/>
      <c r="H46" s="546">
        <v>18</v>
      </c>
      <c r="I46" s="535"/>
      <c r="J46" s="538" t="s">
        <v>581</v>
      </c>
      <c r="K46" s="546" t="s">
        <v>303</v>
      </c>
      <c r="L46" s="546">
        <v>0.1</v>
      </c>
      <c r="M46" s="547"/>
      <c r="N46" s="548" t="str">
        <f t="shared" si="2"/>
        <v>INCLUDED</v>
      </c>
      <c r="O46" s="635">
        <f t="shared" si="4"/>
        <v>0</v>
      </c>
      <c r="P46" s="635">
        <f t="shared" si="5"/>
        <v>0</v>
      </c>
      <c r="Q46" s="635">
        <f>Discount!$H$36</f>
        <v>0</v>
      </c>
      <c r="R46" s="640">
        <f t="shared" si="6"/>
        <v>0</v>
      </c>
      <c r="S46" s="640">
        <f t="shared" si="7"/>
        <v>0</v>
      </c>
      <c r="T46" s="768">
        <f t="shared" si="3"/>
        <v>0</v>
      </c>
    </row>
    <row r="47" spans="1:20" ht="63">
      <c r="A47" s="459">
        <v>30</v>
      </c>
      <c r="B47" s="546">
        <v>7000016118</v>
      </c>
      <c r="C47" s="546">
        <v>270</v>
      </c>
      <c r="D47" s="546" t="s">
        <v>561</v>
      </c>
      <c r="E47" s="546">
        <v>1000020195</v>
      </c>
      <c r="F47" s="546">
        <v>73045930</v>
      </c>
      <c r="G47" s="534"/>
      <c r="H47" s="546">
        <v>18</v>
      </c>
      <c r="I47" s="535"/>
      <c r="J47" s="538" t="s">
        <v>488</v>
      </c>
      <c r="K47" s="546" t="s">
        <v>301</v>
      </c>
      <c r="L47" s="546">
        <v>3</v>
      </c>
      <c r="M47" s="547"/>
      <c r="N47" s="548" t="str">
        <f t="shared" si="2"/>
        <v>INCLUDED</v>
      </c>
      <c r="O47" s="635">
        <f t="shared" si="4"/>
        <v>0</v>
      </c>
      <c r="P47" s="635">
        <f t="shared" si="5"/>
        <v>0</v>
      </c>
      <c r="Q47" s="635">
        <f>Discount!$H$36</f>
        <v>0</v>
      </c>
      <c r="R47" s="640">
        <f t="shared" si="6"/>
        <v>0</v>
      </c>
      <c r="S47" s="640">
        <f t="shared" si="7"/>
        <v>0</v>
      </c>
      <c r="T47" s="768">
        <f t="shared" si="3"/>
        <v>0</v>
      </c>
    </row>
    <row r="48" spans="1:20" ht="39.75" customHeight="1">
      <c r="A48" s="536">
        <v>31</v>
      </c>
      <c r="B48" s="546">
        <v>7000016118</v>
      </c>
      <c r="C48" s="546">
        <v>280</v>
      </c>
      <c r="D48" s="546" t="s">
        <v>561</v>
      </c>
      <c r="E48" s="546">
        <v>1000020190</v>
      </c>
      <c r="F48" s="546">
        <v>73045930</v>
      </c>
      <c r="G48" s="534"/>
      <c r="H48" s="546">
        <v>18</v>
      </c>
      <c r="I48" s="535"/>
      <c r="J48" s="538" t="s">
        <v>497</v>
      </c>
      <c r="K48" s="546" t="s">
        <v>301</v>
      </c>
      <c r="L48" s="546">
        <v>3</v>
      </c>
      <c r="M48" s="547"/>
      <c r="N48" s="548" t="str">
        <f t="shared" si="2"/>
        <v>INCLUDED</v>
      </c>
      <c r="O48" s="635">
        <f t="shared" si="4"/>
        <v>0</v>
      </c>
      <c r="P48" s="635">
        <f t="shared" si="5"/>
        <v>0</v>
      </c>
      <c r="Q48" s="635">
        <f>Discount!$H$36</f>
        <v>0</v>
      </c>
      <c r="R48" s="640">
        <f t="shared" si="6"/>
        <v>0</v>
      </c>
      <c r="S48" s="640">
        <f t="shared" si="7"/>
        <v>0</v>
      </c>
      <c r="T48" s="768">
        <f t="shared" si="3"/>
        <v>0</v>
      </c>
    </row>
    <row r="49" spans="1:20" ht="54.75" customHeight="1">
      <c r="A49" s="459">
        <v>32</v>
      </c>
      <c r="B49" s="546">
        <v>7000016118</v>
      </c>
      <c r="C49" s="546">
        <v>290</v>
      </c>
      <c r="D49" s="546" t="s">
        <v>561</v>
      </c>
      <c r="E49" s="546">
        <v>1000020196</v>
      </c>
      <c r="F49" s="546">
        <v>73045930</v>
      </c>
      <c r="G49" s="534"/>
      <c r="H49" s="546">
        <v>18</v>
      </c>
      <c r="I49" s="535"/>
      <c r="J49" s="538" t="s">
        <v>582</v>
      </c>
      <c r="K49" s="546" t="s">
        <v>301</v>
      </c>
      <c r="L49" s="546">
        <v>3</v>
      </c>
      <c r="M49" s="547"/>
      <c r="N49" s="548" t="str">
        <f t="shared" si="2"/>
        <v>INCLUDED</v>
      </c>
      <c r="O49" s="635">
        <f t="shared" si="4"/>
        <v>0</v>
      </c>
      <c r="P49" s="635">
        <f t="shared" si="5"/>
        <v>0</v>
      </c>
      <c r="Q49" s="635">
        <f>Discount!$H$36</f>
        <v>0</v>
      </c>
      <c r="R49" s="640">
        <f t="shared" si="6"/>
        <v>0</v>
      </c>
      <c r="S49" s="640">
        <f t="shared" si="7"/>
        <v>0</v>
      </c>
      <c r="T49" s="768">
        <f t="shared" si="3"/>
        <v>0</v>
      </c>
    </row>
    <row r="50" spans="1:20" ht="47.25">
      <c r="A50" s="536">
        <v>33</v>
      </c>
      <c r="B50" s="546">
        <v>7000016118</v>
      </c>
      <c r="C50" s="546">
        <v>300</v>
      </c>
      <c r="D50" s="546" t="s">
        <v>561</v>
      </c>
      <c r="E50" s="546">
        <v>1000015952</v>
      </c>
      <c r="F50" s="546">
        <v>73082011</v>
      </c>
      <c r="G50" s="534"/>
      <c r="H50" s="546">
        <v>18</v>
      </c>
      <c r="I50" s="535"/>
      <c r="J50" s="538" t="s">
        <v>500</v>
      </c>
      <c r="K50" s="546" t="s">
        <v>300</v>
      </c>
      <c r="L50" s="546">
        <v>1.1000000000000001</v>
      </c>
      <c r="M50" s="547"/>
      <c r="N50" s="548" t="str">
        <f t="shared" si="2"/>
        <v>INCLUDED</v>
      </c>
      <c r="O50" s="635">
        <f t="shared" si="4"/>
        <v>0</v>
      </c>
      <c r="P50" s="635">
        <f t="shared" si="5"/>
        <v>0</v>
      </c>
      <c r="Q50" s="635">
        <f>Discount!$H$36</f>
        <v>0</v>
      </c>
      <c r="R50" s="640">
        <f t="shared" si="6"/>
        <v>0</v>
      </c>
      <c r="S50" s="640">
        <f t="shared" si="7"/>
        <v>0</v>
      </c>
      <c r="T50" s="768">
        <f t="shared" si="3"/>
        <v>0</v>
      </c>
    </row>
    <row r="51" spans="1:20" ht="41.25" customHeight="1">
      <c r="A51" s="459">
        <v>34</v>
      </c>
      <c r="B51" s="546">
        <v>7000016118</v>
      </c>
      <c r="C51" s="546">
        <v>310</v>
      </c>
      <c r="D51" s="546" t="s">
        <v>561</v>
      </c>
      <c r="E51" s="546">
        <v>1000011713</v>
      </c>
      <c r="F51" s="546">
        <v>73082011</v>
      </c>
      <c r="G51" s="534"/>
      <c r="H51" s="546">
        <v>18</v>
      </c>
      <c r="I51" s="535"/>
      <c r="J51" s="538" t="s">
        <v>501</v>
      </c>
      <c r="K51" s="546" t="s">
        <v>300</v>
      </c>
      <c r="L51" s="546">
        <v>0.02</v>
      </c>
      <c r="M51" s="547"/>
      <c r="N51" s="548" t="str">
        <f t="shared" si="2"/>
        <v>INCLUDED</v>
      </c>
      <c r="O51" s="635">
        <f t="shared" si="4"/>
        <v>0</v>
      </c>
      <c r="P51" s="635">
        <f t="shared" si="5"/>
        <v>0</v>
      </c>
      <c r="Q51" s="635">
        <f>Discount!$H$36</f>
        <v>0</v>
      </c>
      <c r="R51" s="640">
        <f t="shared" si="6"/>
        <v>0</v>
      </c>
      <c r="S51" s="640">
        <f t="shared" si="7"/>
        <v>0</v>
      </c>
      <c r="T51" s="768">
        <f t="shared" si="3"/>
        <v>0</v>
      </c>
    </row>
    <row r="52" spans="1:20" ht="42" customHeight="1">
      <c r="A52" s="536">
        <v>35</v>
      </c>
      <c r="B52" s="546">
        <v>7000016118</v>
      </c>
      <c r="C52" s="546">
        <v>470</v>
      </c>
      <c r="D52" s="546" t="s">
        <v>562</v>
      </c>
      <c r="E52" s="546">
        <v>1000001571</v>
      </c>
      <c r="F52" s="546">
        <v>85359030</v>
      </c>
      <c r="G52" s="534"/>
      <c r="H52" s="546">
        <v>18</v>
      </c>
      <c r="I52" s="535"/>
      <c r="J52" s="538" t="s">
        <v>583</v>
      </c>
      <c r="K52" s="546" t="s">
        <v>478</v>
      </c>
      <c r="L52" s="546">
        <v>210</v>
      </c>
      <c r="M52" s="547"/>
      <c r="N52" s="548" t="str">
        <f t="shared" si="2"/>
        <v>INCLUDED</v>
      </c>
      <c r="O52" s="635">
        <f t="shared" si="4"/>
        <v>0</v>
      </c>
      <c r="P52" s="635">
        <f t="shared" si="5"/>
        <v>0</v>
      </c>
      <c r="Q52" s="635">
        <f>Discount!$H$36</f>
        <v>0</v>
      </c>
      <c r="R52" s="640">
        <f t="shared" si="6"/>
        <v>0</v>
      </c>
      <c r="S52" s="640">
        <f t="shared" si="7"/>
        <v>0</v>
      </c>
      <c r="T52" s="768">
        <f t="shared" si="3"/>
        <v>0</v>
      </c>
    </row>
    <row r="53" spans="1:20" ht="39" customHeight="1">
      <c r="A53" s="459">
        <v>36</v>
      </c>
      <c r="B53" s="546">
        <v>7000016118</v>
      </c>
      <c r="C53" s="546">
        <v>440</v>
      </c>
      <c r="D53" s="546" t="s">
        <v>562</v>
      </c>
      <c r="E53" s="546">
        <v>1000032783</v>
      </c>
      <c r="F53" s="546">
        <v>85359030</v>
      </c>
      <c r="G53" s="534"/>
      <c r="H53" s="546">
        <v>18</v>
      </c>
      <c r="I53" s="535"/>
      <c r="J53" s="538" t="s">
        <v>584</v>
      </c>
      <c r="K53" s="546" t="s">
        <v>302</v>
      </c>
      <c r="L53" s="546">
        <v>2</v>
      </c>
      <c r="M53" s="547"/>
      <c r="N53" s="548" t="str">
        <f t="shared" si="2"/>
        <v>INCLUDED</v>
      </c>
      <c r="O53" s="635">
        <f t="shared" si="4"/>
        <v>0</v>
      </c>
      <c r="P53" s="635">
        <f t="shared" si="5"/>
        <v>0</v>
      </c>
      <c r="Q53" s="635">
        <f>Discount!$H$36</f>
        <v>0</v>
      </c>
      <c r="R53" s="640">
        <f t="shared" si="6"/>
        <v>0</v>
      </c>
      <c r="S53" s="640">
        <f t="shared" si="7"/>
        <v>0</v>
      </c>
      <c r="T53" s="768">
        <f t="shared" si="3"/>
        <v>0</v>
      </c>
    </row>
    <row r="54" spans="1:20" ht="31.5">
      <c r="A54" s="536">
        <v>37</v>
      </c>
      <c r="B54" s="546">
        <v>7000016118</v>
      </c>
      <c r="C54" s="546">
        <v>450</v>
      </c>
      <c r="D54" s="546" t="s">
        <v>562</v>
      </c>
      <c r="E54" s="546">
        <v>1000001678</v>
      </c>
      <c r="F54" s="546">
        <v>85359030</v>
      </c>
      <c r="G54" s="534"/>
      <c r="H54" s="546">
        <v>18</v>
      </c>
      <c r="I54" s="535"/>
      <c r="J54" s="538" t="s">
        <v>585</v>
      </c>
      <c r="K54" s="546" t="s">
        <v>302</v>
      </c>
      <c r="L54" s="546">
        <v>1</v>
      </c>
      <c r="M54" s="547"/>
      <c r="N54" s="548" t="str">
        <f t="shared" si="2"/>
        <v>INCLUDED</v>
      </c>
      <c r="O54" s="635">
        <f t="shared" si="4"/>
        <v>0</v>
      </c>
      <c r="P54" s="635">
        <f>IF( I54="",H54*(IF(N54="Included",0,N54))/100,I54*(IF(N54="Included",0,N54)))</f>
        <v>0</v>
      </c>
      <c r="Q54" s="635">
        <f>Discount!$H$36</f>
        <v>0</v>
      </c>
      <c r="R54" s="640">
        <f t="shared" si="6"/>
        <v>0</v>
      </c>
      <c r="S54" s="640">
        <f t="shared" si="7"/>
        <v>0</v>
      </c>
      <c r="T54" s="768">
        <f t="shared" si="3"/>
        <v>0</v>
      </c>
    </row>
    <row r="55" spans="1:20" ht="54.75" customHeight="1">
      <c r="A55" s="459">
        <v>38</v>
      </c>
      <c r="B55" s="546">
        <v>7000016118</v>
      </c>
      <c r="C55" s="546">
        <v>460</v>
      </c>
      <c r="D55" s="546" t="s">
        <v>562</v>
      </c>
      <c r="E55" s="546">
        <v>1000032764</v>
      </c>
      <c r="F55" s="546">
        <v>85389000</v>
      </c>
      <c r="G55" s="534"/>
      <c r="H55" s="546">
        <v>18</v>
      </c>
      <c r="I55" s="535"/>
      <c r="J55" s="538" t="s">
        <v>586</v>
      </c>
      <c r="K55" s="546" t="s">
        <v>302</v>
      </c>
      <c r="L55" s="546">
        <v>3</v>
      </c>
      <c r="M55" s="547"/>
      <c r="N55" s="548" t="str">
        <f t="shared" si="2"/>
        <v>INCLUDED</v>
      </c>
      <c r="O55" s="635">
        <f t="shared" si="4"/>
        <v>0</v>
      </c>
      <c r="P55" s="635">
        <f>IF( I55="",H55*(IF(N55="Included",0,N55))/100,I55*(IF(N55="Included",0,N55)))</f>
        <v>0</v>
      </c>
      <c r="Q55" s="635">
        <f>Discount!$H$36</f>
        <v>0</v>
      </c>
      <c r="R55" s="640">
        <f t="shared" si="6"/>
        <v>0</v>
      </c>
      <c r="S55" s="640">
        <f t="shared" si="7"/>
        <v>0</v>
      </c>
      <c r="T55" s="768">
        <f t="shared" si="3"/>
        <v>0</v>
      </c>
    </row>
    <row r="56" spans="1:20" ht="36" customHeight="1">
      <c r="A56" s="536">
        <v>39</v>
      </c>
      <c r="B56" s="546">
        <v>7000016118</v>
      </c>
      <c r="C56" s="546">
        <v>480</v>
      </c>
      <c r="D56" s="546" t="s">
        <v>563</v>
      </c>
      <c r="E56" s="546">
        <v>1000020417</v>
      </c>
      <c r="F56" s="546">
        <v>85354010</v>
      </c>
      <c r="G56" s="534"/>
      <c r="H56" s="546">
        <v>18</v>
      </c>
      <c r="I56" s="535"/>
      <c r="J56" s="538" t="s">
        <v>490</v>
      </c>
      <c r="K56" s="546" t="s">
        <v>301</v>
      </c>
      <c r="L56" s="546">
        <v>3</v>
      </c>
      <c r="M56" s="547"/>
      <c r="N56" s="548" t="str">
        <f t="shared" si="2"/>
        <v>INCLUDED</v>
      </c>
      <c r="O56" s="635">
        <f t="shared" si="4"/>
        <v>0</v>
      </c>
      <c r="P56" s="635">
        <f t="shared" ref="P56:P67" si="8">IF( I56="",H56*(IF(N56="Included",0,N56))/100,I56*(IF(N56="Included",0,N56)))</f>
        <v>0</v>
      </c>
      <c r="Q56" s="635">
        <f>Discount!$H$36</f>
        <v>0</v>
      </c>
      <c r="R56" s="640">
        <f t="shared" si="6"/>
        <v>0</v>
      </c>
      <c r="S56" s="640">
        <f t="shared" si="7"/>
        <v>0</v>
      </c>
      <c r="T56" s="768">
        <f t="shared" si="3"/>
        <v>0</v>
      </c>
    </row>
    <row r="57" spans="1:20" ht="39" customHeight="1">
      <c r="A57" s="459">
        <v>40</v>
      </c>
      <c r="B57" s="546">
        <v>7000016118</v>
      </c>
      <c r="C57" s="546">
        <v>490</v>
      </c>
      <c r="D57" s="546" t="s">
        <v>563</v>
      </c>
      <c r="E57" s="546">
        <v>1000001695</v>
      </c>
      <c r="F57" s="546">
        <v>85462040</v>
      </c>
      <c r="G57" s="534"/>
      <c r="H57" s="546">
        <v>18</v>
      </c>
      <c r="I57" s="535"/>
      <c r="J57" s="538" t="s">
        <v>491</v>
      </c>
      <c r="K57" s="546" t="s">
        <v>301</v>
      </c>
      <c r="L57" s="546">
        <v>6</v>
      </c>
      <c r="M57" s="547"/>
      <c r="N57" s="548" t="str">
        <f t="shared" si="2"/>
        <v>INCLUDED</v>
      </c>
      <c r="O57" s="635">
        <f t="shared" si="4"/>
        <v>0</v>
      </c>
      <c r="P57" s="635">
        <f t="shared" si="8"/>
        <v>0</v>
      </c>
      <c r="Q57" s="635">
        <f>Discount!$H$36</f>
        <v>0</v>
      </c>
      <c r="R57" s="640">
        <f t="shared" si="6"/>
        <v>0</v>
      </c>
      <c r="S57" s="640">
        <f t="shared" si="7"/>
        <v>0</v>
      </c>
      <c r="T57" s="768">
        <f t="shared" si="3"/>
        <v>0</v>
      </c>
    </row>
    <row r="58" spans="1:20" ht="47.25">
      <c r="A58" s="536">
        <v>41</v>
      </c>
      <c r="B58" s="546">
        <v>7000016118</v>
      </c>
      <c r="C58" s="546">
        <v>500</v>
      </c>
      <c r="D58" s="546" t="s">
        <v>564</v>
      </c>
      <c r="E58" s="546">
        <v>1000011252</v>
      </c>
      <c r="F58" s="546">
        <v>72169990</v>
      </c>
      <c r="G58" s="534"/>
      <c r="H58" s="546">
        <v>18</v>
      </c>
      <c r="I58" s="535"/>
      <c r="J58" s="538" t="s">
        <v>587</v>
      </c>
      <c r="K58" s="546" t="s">
        <v>302</v>
      </c>
      <c r="L58" s="546">
        <v>1</v>
      </c>
      <c r="M58" s="547"/>
      <c r="N58" s="548" t="str">
        <f t="shared" si="2"/>
        <v>INCLUDED</v>
      </c>
      <c r="O58" s="635">
        <f t="shared" si="4"/>
        <v>0</v>
      </c>
      <c r="P58" s="635">
        <f t="shared" si="8"/>
        <v>0</v>
      </c>
      <c r="Q58" s="635">
        <f>Discount!$H$36</f>
        <v>0</v>
      </c>
      <c r="R58" s="640">
        <f t="shared" si="6"/>
        <v>0</v>
      </c>
      <c r="S58" s="640">
        <f t="shared" si="7"/>
        <v>0</v>
      </c>
      <c r="T58" s="768">
        <f t="shared" si="3"/>
        <v>0</v>
      </c>
    </row>
    <row r="59" spans="1:20" ht="31.5">
      <c r="A59" s="459">
        <v>42</v>
      </c>
      <c r="B59" s="546">
        <v>7000016118</v>
      </c>
      <c r="C59" s="546">
        <v>540</v>
      </c>
      <c r="D59" s="546" t="s">
        <v>565</v>
      </c>
      <c r="E59" s="546">
        <v>1000019925</v>
      </c>
      <c r="F59" s="546">
        <v>84819090</v>
      </c>
      <c r="G59" s="534"/>
      <c r="H59" s="546">
        <v>18</v>
      </c>
      <c r="I59" s="535"/>
      <c r="J59" s="538" t="s">
        <v>588</v>
      </c>
      <c r="K59" s="546" t="s">
        <v>485</v>
      </c>
      <c r="L59" s="546">
        <v>1</v>
      </c>
      <c r="M59" s="547"/>
      <c r="N59" s="548" t="str">
        <f t="shared" si="2"/>
        <v>INCLUDED</v>
      </c>
      <c r="O59" s="635">
        <f t="shared" si="4"/>
        <v>0</v>
      </c>
      <c r="P59" s="635">
        <f t="shared" si="8"/>
        <v>0</v>
      </c>
      <c r="Q59" s="635">
        <f>Discount!$H$36</f>
        <v>0</v>
      </c>
      <c r="R59" s="640">
        <f t="shared" si="6"/>
        <v>0</v>
      </c>
      <c r="S59" s="640">
        <f t="shared" si="7"/>
        <v>0</v>
      </c>
      <c r="T59" s="768">
        <f t="shared" si="3"/>
        <v>0</v>
      </c>
    </row>
    <row r="60" spans="1:20" ht="31.5">
      <c r="A60" s="536">
        <v>43</v>
      </c>
      <c r="B60" s="546">
        <v>7000016118</v>
      </c>
      <c r="C60" s="546">
        <v>550</v>
      </c>
      <c r="D60" s="546" t="s">
        <v>565</v>
      </c>
      <c r="E60" s="546">
        <v>1000025949</v>
      </c>
      <c r="F60" s="546">
        <v>85371000</v>
      </c>
      <c r="G60" s="534"/>
      <c r="H60" s="546">
        <v>18</v>
      </c>
      <c r="I60" s="535"/>
      <c r="J60" s="538" t="s">
        <v>589</v>
      </c>
      <c r="K60" s="546" t="s">
        <v>302</v>
      </c>
      <c r="L60" s="546">
        <v>1</v>
      </c>
      <c r="M60" s="547"/>
      <c r="N60" s="548" t="str">
        <f t="shared" si="2"/>
        <v>INCLUDED</v>
      </c>
      <c r="O60" s="635">
        <f t="shared" si="4"/>
        <v>0</v>
      </c>
      <c r="P60" s="635">
        <f t="shared" si="8"/>
        <v>0</v>
      </c>
      <c r="Q60" s="635">
        <f>Discount!$H$36</f>
        <v>0</v>
      </c>
      <c r="R60" s="640">
        <f t="shared" si="6"/>
        <v>0</v>
      </c>
      <c r="S60" s="640">
        <f t="shared" si="7"/>
        <v>0</v>
      </c>
      <c r="T60" s="768">
        <f t="shared" si="3"/>
        <v>0</v>
      </c>
    </row>
    <row r="61" spans="1:20" ht="31.5">
      <c r="A61" s="459">
        <v>44</v>
      </c>
      <c r="B61" s="546">
        <v>7000016118</v>
      </c>
      <c r="C61" s="546">
        <v>560</v>
      </c>
      <c r="D61" s="546" t="s">
        <v>565</v>
      </c>
      <c r="E61" s="546">
        <v>1000025945</v>
      </c>
      <c r="F61" s="546">
        <v>85389000</v>
      </c>
      <c r="G61" s="534"/>
      <c r="H61" s="546">
        <v>18</v>
      </c>
      <c r="I61" s="535"/>
      <c r="J61" s="538" t="s">
        <v>590</v>
      </c>
      <c r="K61" s="546" t="s">
        <v>302</v>
      </c>
      <c r="L61" s="546">
        <v>1</v>
      </c>
      <c r="M61" s="547"/>
      <c r="N61" s="548" t="str">
        <f t="shared" si="2"/>
        <v>INCLUDED</v>
      </c>
      <c r="O61" s="635">
        <f t="shared" si="4"/>
        <v>0</v>
      </c>
      <c r="P61" s="635">
        <f t="shared" si="8"/>
        <v>0</v>
      </c>
      <c r="Q61" s="635">
        <f>Discount!$H$36</f>
        <v>0</v>
      </c>
      <c r="R61" s="640">
        <f t="shared" si="6"/>
        <v>0</v>
      </c>
      <c r="S61" s="640">
        <f t="shared" si="7"/>
        <v>0</v>
      </c>
      <c r="T61" s="768">
        <f t="shared" si="3"/>
        <v>0</v>
      </c>
    </row>
    <row r="62" spans="1:20" ht="31.5">
      <c r="A62" s="536">
        <v>45</v>
      </c>
      <c r="B62" s="546">
        <v>7000016118</v>
      </c>
      <c r="C62" s="546">
        <v>570</v>
      </c>
      <c r="D62" s="546" t="s">
        <v>565</v>
      </c>
      <c r="E62" s="546">
        <v>1000027478</v>
      </c>
      <c r="F62" s="546">
        <v>85389000</v>
      </c>
      <c r="G62" s="534"/>
      <c r="H62" s="546">
        <v>18</v>
      </c>
      <c r="I62" s="535"/>
      <c r="J62" s="538" t="s">
        <v>591</v>
      </c>
      <c r="K62" s="546" t="s">
        <v>302</v>
      </c>
      <c r="L62" s="546">
        <v>1</v>
      </c>
      <c r="M62" s="547"/>
      <c r="N62" s="548" t="str">
        <f t="shared" si="2"/>
        <v>INCLUDED</v>
      </c>
      <c r="O62" s="635">
        <f t="shared" si="4"/>
        <v>0</v>
      </c>
      <c r="P62" s="635">
        <f t="shared" si="8"/>
        <v>0</v>
      </c>
      <c r="Q62" s="635">
        <f>Discount!$H$36</f>
        <v>0</v>
      </c>
      <c r="R62" s="640">
        <f t="shared" si="6"/>
        <v>0</v>
      </c>
      <c r="S62" s="640">
        <f t="shared" si="7"/>
        <v>0</v>
      </c>
      <c r="T62" s="768">
        <f t="shared" si="3"/>
        <v>0</v>
      </c>
    </row>
    <row r="63" spans="1:20" ht="31.5">
      <c r="A63" s="459">
        <v>46</v>
      </c>
      <c r="B63" s="546">
        <v>7000016118</v>
      </c>
      <c r="C63" s="546">
        <v>590</v>
      </c>
      <c r="D63" s="546" t="s">
        <v>565</v>
      </c>
      <c r="E63" s="546">
        <v>1000028246</v>
      </c>
      <c r="F63" s="546">
        <v>85354010</v>
      </c>
      <c r="G63" s="534"/>
      <c r="H63" s="546">
        <v>18</v>
      </c>
      <c r="I63" s="535"/>
      <c r="J63" s="538" t="s">
        <v>592</v>
      </c>
      <c r="K63" s="546" t="s">
        <v>485</v>
      </c>
      <c r="L63" s="546">
        <v>1</v>
      </c>
      <c r="M63" s="547"/>
      <c r="N63" s="548" t="str">
        <f t="shared" si="2"/>
        <v>INCLUDED</v>
      </c>
      <c r="O63" s="635">
        <f t="shared" si="4"/>
        <v>0</v>
      </c>
      <c r="P63" s="635">
        <f t="shared" si="8"/>
        <v>0</v>
      </c>
      <c r="Q63" s="635">
        <f>Discount!$H$36</f>
        <v>0</v>
      </c>
      <c r="R63" s="640">
        <f t="shared" si="6"/>
        <v>0</v>
      </c>
      <c r="S63" s="640">
        <f t="shared" si="7"/>
        <v>0</v>
      </c>
      <c r="T63" s="768">
        <f t="shared" si="3"/>
        <v>0</v>
      </c>
    </row>
    <row r="64" spans="1:20" ht="31.5">
      <c r="A64" s="536">
        <v>47</v>
      </c>
      <c r="B64" s="546">
        <v>7000016118</v>
      </c>
      <c r="C64" s="546">
        <v>580</v>
      </c>
      <c r="D64" s="546" t="s">
        <v>565</v>
      </c>
      <c r="E64" s="546">
        <v>1000025930</v>
      </c>
      <c r="F64" s="546">
        <v>85354010</v>
      </c>
      <c r="G64" s="534"/>
      <c r="H64" s="546">
        <v>18</v>
      </c>
      <c r="I64" s="535"/>
      <c r="J64" s="538" t="s">
        <v>498</v>
      </c>
      <c r="K64" s="546" t="s">
        <v>302</v>
      </c>
      <c r="L64" s="546">
        <v>1</v>
      </c>
      <c r="M64" s="547"/>
      <c r="N64" s="548" t="str">
        <f t="shared" si="2"/>
        <v>INCLUDED</v>
      </c>
      <c r="O64" s="635">
        <f t="shared" si="4"/>
        <v>0</v>
      </c>
      <c r="P64" s="635">
        <f t="shared" si="8"/>
        <v>0</v>
      </c>
      <c r="Q64" s="635">
        <f>Discount!$H$36</f>
        <v>0</v>
      </c>
      <c r="R64" s="640">
        <f t="shared" si="6"/>
        <v>0</v>
      </c>
      <c r="S64" s="640">
        <f t="shared" si="7"/>
        <v>0</v>
      </c>
      <c r="T64" s="768">
        <f t="shared" si="3"/>
        <v>0</v>
      </c>
    </row>
    <row r="65" spans="1:20" ht="39.75" customHeight="1">
      <c r="A65" s="459">
        <v>48</v>
      </c>
      <c r="B65" s="546">
        <v>7000016118</v>
      </c>
      <c r="C65" s="546">
        <v>600</v>
      </c>
      <c r="D65" s="546" t="s">
        <v>565</v>
      </c>
      <c r="E65" s="546">
        <v>1000019927</v>
      </c>
      <c r="F65" s="546">
        <v>85389000</v>
      </c>
      <c r="G65" s="534"/>
      <c r="H65" s="546">
        <v>18</v>
      </c>
      <c r="I65" s="535"/>
      <c r="J65" s="538" t="s">
        <v>499</v>
      </c>
      <c r="K65" s="546" t="s">
        <v>485</v>
      </c>
      <c r="L65" s="546">
        <v>1</v>
      </c>
      <c r="M65" s="547"/>
      <c r="N65" s="548" t="str">
        <f t="shared" si="2"/>
        <v>INCLUDED</v>
      </c>
      <c r="O65" s="635">
        <f t="shared" si="4"/>
        <v>0</v>
      </c>
      <c r="P65" s="635">
        <f t="shared" si="8"/>
        <v>0</v>
      </c>
      <c r="Q65" s="635">
        <f>Discount!$H$36</f>
        <v>0</v>
      </c>
      <c r="R65" s="640">
        <f t="shared" si="6"/>
        <v>0</v>
      </c>
      <c r="S65" s="640">
        <f t="shared" si="7"/>
        <v>0</v>
      </c>
      <c r="T65" s="768">
        <f t="shared" si="3"/>
        <v>0</v>
      </c>
    </row>
    <row r="66" spans="1:20" ht="38.25" customHeight="1">
      <c r="A66" s="536">
        <v>49</v>
      </c>
      <c r="B66" s="546">
        <v>7000016118</v>
      </c>
      <c r="C66" s="546">
        <v>610</v>
      </c>
      <c r="D66" s="546" t="s">
        <v>566</v>
      </c>
      <c r="E66" s="546">
        <v>1000012366</v>
      </c>
      <c r="F66" s="546">
        <v>73082011</v>
      </c>
      <c r="G66" s="534"/>
      <c r="H66" s="546">
        <v>18</v>
      </c>
      <c r="I66" s="535"/>
      <c r="J66" s="538" t="s">
        <v>489</v>
      </c>
      <c r="K66" s="546" t="s">
        <v>301</v>
      </c>
      <c r="L66" s="546">
        <v>36</v>
      </c>
      <c r="M66" s="547"/>
      <c r="N66" s="548" t="str">
        <f t="shared" si="2"/>
        <v>INCLUDED</v>
      </c>
      <c r="O66" s="635">
        <f t="shared" si="4"/>
        <v>0</v>
      </c>
      <c r="P66" s="635">
        <f t="shared" si="8"/>
        <v>0</v>
      </c>
      <c r="Q66" s="635">
        <f>Discount!$H$36</f>
        <v>0</v>
      </c>
      <c r="R66" s="640">
        <f t="shared" si="6"/>
        <v>0</v>
      </c>
      <c r="S66" s="640">
        <f t="shared" si="7"/>
        <v>0</v>
      </c>
      <c r="T66" s="768">
        <f t="shared" si="3"/>
        <v>0</v>
      </c>
    </row>
    <row r="67" spans="1:20" ht="58.5" customHeight="1">
      <c r="A67" s="459">
        <v>50</v>
      </c>
      <c r="B67" s="546">
        <v>7000016118</v>
      </c>
      <c r="C67" s="546">
        <v>620</v>
      </c>
      <c r="D67" s="546" t="s">
        <v>566</v>
      </c>
      <c r="E67" s="546">
        <v>1000012373</v>
      </c>
      <c r="F67" s="546">
        <v>73082011</v>
      </c>
      <c r="G67" s="534"/>
      <c r="H67" s="546">
        <v>18</v>
      </c>
      <c r="I67" s="535"/>
      <c r="J67" s="538" t="s">
        <v>502</v>
      </c>
      <c r="K67" s="546" t="s">
        <v>300</v>
      </c>
      <c r="L67" s="546">
        <v>0.25</v>
      </c>
      <c r="M67" s="547"/>
      <c r="N67" s="548" t="str">
        <f t="shared" si="2"/>
        <v>INCLUDED</v>
      </c>
      <c r="O67" s="635">
        <f t="shared" si="4"/>
        <v>0</v>
      </c>
      <c r="P67" s="635">
        <f t="shared" si="8"/>
        <v>0</v>
      </c>
      <c r="Q67" s="635">
        <f>Discount!$H$36</f>
        <v>0</v>
      </c>
      <c r="R67" s="640">
        <f t="shared" si="6"/>
        <v>0</v>
      </c>
      <c r="S67" s="640">
        <f t="shared" si="7"/>
        <v>0</v>
      </c>
      <c r="T67" s="768">
        <f t="shared" si="3"/>
        <v>0</v>
      </c>
    </row>
    <row r="68" spans="1:20" ht="16.5" customHeight="1">
      <c r="A68" s="826" t="s">
        <v>630</v>
      </c>
      <c r="B68" s="826"/>
      <c r="C68" s="826"/>
      <c r="D68" s="826"/>
      <c r="E68" s="826"/>
      <c r="F68" s="826"/>
      <c r="G68" s="826"/>
      <c r="H68" s="826"/>
      <c r="I68" s="826"/>
      <c r="J68" s="826"/>
      <c r="K68" s="826"/>
      <c r="L68" s="826"/>
      <c r="M68" s="826"/>
      <c r="N68" s="737">
        <f>SUM(N18:N67)</f>
        <v>0</v>
      </c>
      <c r="O68" s="636"/>
      <c r="P68" s="637">
        <f>SUM(P18:P67)</f>
        <v>0</v>
      </c>
      <c r="Q68" s="638"/>
      <c r="R68" s="739">
        <f>SUM(R18:R67)</f>
        <v>0</v>
      </c>
      <c r="S68" s="639">
        <f>SUM(S18:S67)</f>
        <v>0</v>
      </c>
      <c r="T68" s="768">
        <f>SUM(T18:T67)</f>
        <v>0</v>
      </c>
    </row>
    <row r="69" spans="1:20" ht="16.5">
      <c r="A69" s="826" t="s">
        <v>272</v>
      </c>
      <c r="B69" s="826"/>
      <c r="C69" s="826"/>
      <c r="D69" s="826"/>
      <c r="E69" s="826"/>
      <c r="F69" s="826"/>
      <c r="G69" s="826"/>
      <c r="H69" s="826"/>
      <c r="I69" s="826"/>
      <c r="J69" s="826"/>
      <c r="K69" s="826"/>
      <c r="L69" s="826"/>
      <c r="M69" s="826"/>
      <c r="N69" s="737">
        <f>'Sch-7'!M18</f>
        <v>0</v>
      </c>
      <c r="O69" s="541"/>
      <c r="P69" s="541"/>
      <c r="Q69" s="516"/>
      <c r="R69" s="516"/>
      <c r="S69" s="516"/>
    </row>
    <row r="70" spans="1:20" ht="16.5">
      <c r="A70" s="826" t="s">
        <v>476</v>
      </c>
      <c r="B70" s="826"/>
      <c r="C70" s="826"/>
      <c r="D70" s="826"/>
      <c r="E70" s="826"/>
      <c r="F70" s="826"/>
      <c r="G70" s="826"/>
      <c r="H70" s="826"/>
      <c r="I70" s="826"/>
      <c r="J70" s="826"/>
      <c r="K70" s="826"/>
      <c r="L70" s="826"/>
      <c r="M70" s="826"/>
      <c r="N70" s="737">
        <f>N68+N69</f>
        <v>0</v>
      </c>
      <c r="O70" s="541"/>
      <c r="P70" s="541"/>
      <c r="Q70" s="516"/>
      <c r="R70" s="516"/>
      <c r="S70" s="516"/>
    </row>
    <row r="71" spans="1:20" ht="32.25" customHeight="1">
      <c r="A71" s="543"/>
      <c r="B71" s="828" t="s">
        <v>314</v>
      </c>
      <c r="C71" s="828"/>
      <c r="D71" s="828"/>
      <c r="E71" s="828"/>
      <c r="F71" s="828"/>
      <c r="G71" s="828"/>
      <c r="H71" s="828"/>
      <c r="I71" s="828"/>
      <c r="J71" s="828"/>
      <c r="K71" s="828"/>
      <c r="L71" s="828"/>
      <c r="M71" s="828"/>
      <c r="N71" s="828"/>
      <c r="O71" s="541"/>
      <c r="P71" s="541"/>
      <c r="Q71" s="516"/>
      <c r="R71" s="516"/>
      <c r="S71" s="516"/>
    </row>
    <row r="72" spans="1:20">
      <c r="A72" s="543"/>
      <c r="B72" s="543"/>
      <c r="C72" s="543"/>
      <c r="D72" s="545"/>
      <c r="E72" s="543"/>
      <c r="F72" s="543"/>
      <c r="G72" s="543"/>
      <c r="H72" s="543"/>
      <c r="I72" s="543"/>
      <c r="J72" s="545"/>
      <c r="K72" s="543"/>
      <c r="L72" s="543"/>
      <c r="M72" s="543"/>
      <c r="N72" s="543"/>
      <c r="O72" s="516"/>
      <c r="P72" s="516"/>
      <c r="Q72" s="516"/>
      <c r="R72" s="516"/>
      <c r="S72" s="516"/>
    </row>
    <row r="73" spans="1:20" ht="16.5">
      <c r="A73" s="543"/>
      <c r="B73" s="543" t="s">
        <v>318</v>
      </c>
      <c r="C73" s="830" t="str">
        <f>'Names of Bidder'!D27&amp;" "&amp;'Names of Bidder'!E27&amp;" "&amp;'Names of Bidder'!F27</f>
        <v xml:space="preserve">  </v>
      </c>
      <c r="D73" s="827"/>
      <c r="E73" s="543"/>
      <c r="F73" s="543"/>
      <c r="G73" s="543"/>
      <c r="H73" s="543"/>
      <c r="I73" s="544"/>
      <c r="J73" s="742" t="s">
        <v>320</v>
      </c>
      <c r="K73" s="829" t="str">
        <f>IF('Names of Bidder'!D24="","",'Names of Bidder'!D24)</f>
        <v/>
      </c>
      <c r="L73" s="829"/>
      <c r="M73" s="829"/>
      <c r="N73" s="829"/>
      <c r="O73" s="516"/>
      <c r="P73" s="516"/>
      <c r="Q73" s="516"/>
      <c r="R73" s="516"/>
      <c r="S73" s="516"/>
    </row>
    <row r="74" spans="1:20" ht="16.5">
      <c r="A74" s="543"/>
      <c r="B74" s="543" t="s">
        <v>319</v>
      </c>
      <c r="C74" s="827" t="str">
        <f>IF('Names of Bidder'!D28="","",'Names of Bidder'!D28)</f>
        <v/>
      </c>
      <c r="D74" s="827"/>
      <c r="E74" s="543"/>
      <c r="F74" s="543"/>
      <c r="G74" s="543"/>
      <c r="H74" s="543"/>
      <c r="I74" s="544"/>
      <c r="J74" s="742" t="s">
        <v>125</v>
      </c>
      <c r="K74" s="829" t="str">
        <f>IF('Names of Bidder'!D25="","",'Names of Bidder'!D25)</f>
        <v/>
      </c>
      <c r="L74" s="829"/>
      <c r="M74" s="829"/>
      <c r="N74" s="829"/>
      <c r="O74" s="516"/>
      <c r="P74" s="516"/>
      <c r="Q74" s="516"/>
      <c r="R74" s="516"/>
      <c r="S74" s="516"/>
    </row>
    <row r="75" spans="1:20">
      <c r="A75" s="543"/>
      <c r="B75" s="543"/>
      <c r="C75" s="543"/>
      <c r="D75" s="545"/>
      <c r="E75" s="543"/>
      <c r="F75" s="543"/>
      <c r="G75" s="543"/>
      <c r="H75" s="543"/>
      <c r="I75" s="543"/>
      <c r="J75" s="545"/>
      <c r="K75" s="543"/>
      <c r="L75" s="543"/>
      <c r="M75" s="543"/>
      <c r="N75" s="543"/>
      <c r="O75" s="516"/>
      <c r="P75" s="516"/>
      <c r="Q75" s="516"/>
      <c r="R75" s="516"/>
      <c r="S75" s="516"/>
    </row>
    <row r="76" spans="1:20">
      <c r="A76" s="543"/>
      <c r="B76" s="543"/>
      <c r="C76" s="543"/>
      <c r="D76" s="545"/>
      <c r="E76" s="543"/>
      <c r="F76" s="543"/>
      <c r="G76" s="545"/>
      <c r="H76" s="545"/>
      <c r="I76" s="545"/>
      <c r="J76" s="545"/>
      <c r="K76" s="543"/>
      <c r="L76" s="543"/>
      <c r="M76" s="543"/>
      <c r="N76" s="543"/>
    </row>
    <row r="77" spans="1:20">
      <c r="G77" s="730"/>
      <c r="H77" s="730"/>
      <c r="I77" s="730"/>
    </row>
    <row r="78" spans="1:20">
      <c r="G78" s="730"/>
      <c r="H78" s="730"/>
      <c r="I78" s="730"/>
    </row>
    <row r="79" spans="1:20">
      <c r="G79" s="730"/>
      <c r="H79" s="730"/>
      <c r="I79" s="730"/>
    </row>
    <row r="80" spans="1:20">
      <c r="G80" s="730"/>
      <c r="H80" s="730"/>
      <c r="I80" s="730"/>
    </row>
    <row r="81" spans="7:9">
      <c r="G81" s="730"/>
      <c r="H81" s="730"/>
      <c r="I81" s="730"/>
    </row>
    <row r="82" spans="7:9">
      <c r="G82" s="730"/>
      <c r="H82" s="730"/>
      <c r="I82" s="730"/>
    </row>
    <row r="83" spans="7:9">
      <c r="G83" s="730"/>
      <c r="H83" s="730"/>
      <c r="I83" s="730"/>
    </row>
    <row r="84" spans="7:9">
      <c r="G84" s="730"/>
      <c r="H84" s="730"/>
      <c r="I84" s="730"/>
    </row>
    <row r="85" spans="7:9">
      <c r="G85" s="730"/>
      <c r="H85" s="730"/>
      <c r="I85" s="730"/>
    </row>
    <row r="86" spans="7:9">
      <c r="G86" s="730"/>
      <c r="H86" s="730"/>
      <c r="I86" s="730"/>
    </row>
    <row r="87" spans="7:9">
      <c r="G87" s="730"/>
      <c r="H87" s="730"/>
      <c r="I87" s="730"/>
    </row>
    <row r="88" spans="7:9">
      <c r="G88" s="730"/>
      <c r="H88" s="730"/>
      <c r="I88" s="730"/>
    </row>
    <row r="89" spans="7:9">
      <c r="G89" s="730"/>
      <c r="H89" s="730"/>
      <c r="I89" s="730"/>
    </row>
    <row r="90" spans="7:9">
      <c r="G90" s="730"/>
      <c r="H90" s="730"/>
      <c r="I90" s="730"/>
    </row>
    <row r="91" spans="7:9">
      <c r="G91" s="730"/>
      <c r="H91" s="730"/>
      <c r="I91" s="730"/>
    </row>
    <row r="92" spans="7:9">
      <c r="G92" s="730"/>
      <c r="H92" s="730"/>
      <c r="I92" s="730"/>
    </row>
    <row r="93" spans="7:9">
      <c r="G93" s="730"/>
      <c r="H93" s="730"/>
      <c r="I93" s="730"/>
    </row>
    <row r="94" spans="7:9">
      <c r="G94" s="730"/>
      <c r="H94" s="730"/>
      <c r="I94" s="730"/>
    </row>
    <row r="95" spans="7:9">
      <c r="G95" s="730"/>
      <c r="H95" s="730"/>
      <c r="I95" s="730"/>
    </row>
    <row r="96" spans="7:9">
      <c r="G96" s="730"/>
      <c r="H96" s="730"/>
      <c r="I96" s="730"/>
    </row>
    <row r="97" spans="7:9">
      <c r="G97" s="730"/>
      <c r="H97" s="730"/>
      <c r="I97" s="730"/>
    </row>
    <row r="98" spans="7:9">
      <c r="G98" s="730"/>
      <c r="H98" s="730"/>
      <c r="I98" s="730"/>
    </row>
    <row r="99" spans="7:9">
      <c r="G99" s="730"/>
      <c r="H99" s="730"/>
      <c r="I99" s="730"/>
    </row>
    <row r="100" spans="7:9">
      <c r="G100" s="730"/>
      <c r="H100" s="730"/>
      <c r="I100" s="730"/>
    </row>
    <row r="101" spans="7:9">
      <c r="G101" s="730"/>
      <c r="H101" s="730"/>
      <c r="I101" s="730"/>
    </row>
    <row r="102" spans="7:9">
      <c r="G102" s="730"/>
      <c r="H102" s="730"/>
      <c r="I102" s="730"/>
    </row>
    <row r="103" spans="7:9">
      <c r="G103" s="730"/>
      <c r="H103" s="730"/>
      <c r="I103" s="730"/>
    </row>
    <row r="104" spans="7:9">
      <c r="G104" s="730"/>
      <c r="H104" s="730"/>
      <c r="I104" s="730"/>
    </row>
    <row r="105" spans="7:9">
      <c r="G105" s="730"/>
      <c r="H105" s="730"/>
      <c r="I105" s="730"/>
    </row>
    <row r="106" spans="7:9">
      <c r="G106" s="730"/>
      <c r="H106" s="730"/>
      <c r="I106" s="730"/>
    </row>
    <row r="107" spans="7:9">
      <c r="G107" s="730"/>
      <c r="H107" s="730"/>
      <c r="I107" s="730"/>
    </row>
  </sheetData>
  <sheetProtection algorithmName="SHA-512" hashValue="oVlZQXoGGSjz8u3XmlWMzDMUUjhj5lpSJggg2UI0ci6RW9Bkbiv0ORUFcX8Ep/3LDt65koTXuyGTScpnrQfw2A==" saltValue="KKDYRsbo3ZqdnjAzDU1HZg==" spinCount="100000" sheet="1" formatColumns="0" formatRows="0" selectLockedCells="1"/>
  <customSheetViews>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2"/>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3"/>
      <headerFooter>
        <oddHeader>&amp;RSchedule-1
Page &amp;P of &amp;N</oddHeader>
      </headerFooter>
    </customSheetView>
    <customSheetView guid="{CCA37BAE-906F-43D5-9FD9-B13563E4B9D7}" scale="80" showPageBreaks="1" printArea="1" hiddenColumns="1" view="pageBreakPreview" topLeftCell="A102">
      <selection activeCell="G18" sqref="G18"/>
      <pageMargins left="0.25" right="0.25" top="0.75" bottom="0.5" header="0.3" footer="0.5"/>
      <printOptions horizontalCentered="1"/>
      <pageSetup paperSize="9" scale="57" orientation="landscape" r:id="rId4"/>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10"/>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68:M68"/>
    <mergeCell ref="C74:D74"/>
    <mergeCell ref="B71:N71"/>
    <mergeCell ref="K74:N74"/>
    <mergeCell ref="K73:N73"/>
    <mergeCell ref="A69:M69"/>
    <mergeCell ref="A70:M70"/>
    <mergeCell ref="C73:D73"/>
  </mergeCells>
  <conditionalFormatting sqref="I18:I67">
    <cfRule type="expression" dxfId="6" priority="19" stopIfTrue="1">
      <formula>H18&gt;0</formula>
    </cfRule>
  </conditionalFormatting>
  <dataValidations count="3">
    <dataValidation type="list" operator="greaterThan" allowBlank="1" showInputMessage="1" showErrorMessage="1" sqref="I18:I67" xr:uid="{00000000-0002-0000-0400-000000000000}">
      <formula1>"0%,5%,12%,18%,28%"</formula1>
    </dataValidation>
    <dataValidation type="whole" operator="greaterThan" allowBlank="1" showInputMessage="1" showErrorMessage="1" sqref="G18:G67" xr:uid="{00000000-0002-0000-0400-000001000000}">
      <formula1>0</formula1>
    </dataValidation>
    <dataValidation type="decimal" operator="greaterThanOrEqual" allowBlank="1" showInputMessage="1" showErrorMessage="1" sqref="M18:M67" xr:uid="{00000000-0002-0000-0400-000002000000}">
      <formula1>0</formula1>
    </dataValidation>
  </dataValidations>
  <printOptions horizontalCentered="1"/>
  <pageMargins left="0.25" right="0.25" top="0.75" bottom="0.5" header="0.3" footer="0.5"/>
  <pageSetup paperSize="9" scale="57" orientation="landscape" r:id="rId11"/>
  <headerFooter>
    <oddHeader>&amp;RSchedule-1
Page &amp;P of &amp;N</oddHead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74"/>
  <sheetViews>
    <sheetView view="pageBreakPreview" topLeftCell="A18" zoomScale="80" zoomScaleNormal="100" zoomScaleSheetLayoutView="80" workbookViewId="0">
      <selection activeCell="I18" sqref="I18"/>
    </sheetView>
  </sheetViews>
  <sheetFormatPr defaultColWidth="9.140625"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4.28515625" style="428" customWidth="1"/>
    <col min="11" max="13" width="10.28515625" style="425" customWidth="1"/>
    <col min="14" max="14" width="9.140625" style="425" customWidth="1"/>
    <col min="15" max="17" width="9.140625" style="425"/>
    <col min="18" max="28" width="9.140625" style="416"/>
    <col min="29" max="16384" width="9.140625" style="424"/>
  </cols>
  <sheetData>
    <row r="1" spans="1:32" ht="27.75" customHeight="1">
      <c r="A1" s="1" t="str">
        <f>Basic!B5</f>
        <v xml:space="preserve">5002002027/GIS-EXCLUDING/DOM/A04-CC CS-5   </v>
      </c>
      <c r="B1" s="1"/>
      <c r="C1" s="1"/>
      <c r="D1" s="419"/>
      <c r="E1" s="419"/>
      <c r="F1" s="419"/>
      <c r="G1" s="422"/>
      <c r="H1" s="422"/>
      <c r="I1" s="423"/>
      <c r="J1" s="641" t="s">
        <v>14</v>
      </c>
    </row>
    <row r="2" spans="1:32" ht="21.75" customHeight="1">
      <c r="A2" s="418"/>
      <c r="B2" s="418"/>
      <c r="C2" s="418"/>
      <c r="D2" s="418"/>
      <c r="E2" s="418"/>
      <c r="F2" s="418"/>
      <c r="G2" s="352"/>
      <c r="H2" s="352"/>
      <c r="I2" s="426"/>
      <c r="J2" s="352"/>
    </row>
    <row r="3" spans="1:32" ht="92.25" customHeight="1">
      <c r="A3" s="831" t="str">
        <f>Cover!$B$2</f>
        <v xml:space="preserve">GIS Substation Package SS02 for extension of 400/220kV Kurukshetra GIS Substation associated with Augmentation of transformation capacity at 400/220kV Kurukshetra S/S &amp; Patiala S/S
</v>
      </c>
      <c r="B3" s="831"/>
      <c r="C3" s="831"/>
      <c r="D3" s="831"/>
      <c r="E3" s="831"/>
      <c r="F3" s="831"/>
      <c r="G3" s="831"/>
      <c r="H3" s="831"/>
      <c r="I3" s="831"/>
      <c r="J3" s="831"/>
      <c r="K3" s="427"/>
      <c r="N3" s="842"/>
      <c r="O3" s="842"/>
      <c r="R3" s="425"/>
      <c r="S3" s="425"/>
      <c r="T3" s="425"/>
      <c r="U3" s="425"/>
      <c r="V3" s="425"/>
      <c r="W3" s="425"/>
      <c r="X3" s="425"/>
      <c r="Y3" s="425"/>
      <c r="Z3" s="425"/>
      <c r="AA3" s="425"/>
      <c r="AC3" s="416"/>
      <c r="AD3" s="416"/>
      <c r="AE3" s="416"/>
      <c r="AF3" s="416"/>
    </row>
    <row r="4" spans="1:32" ht="21.95" customHeight="1">
      <c r="A4" s="843" t="s">
        <v>0</v>
      </c>
      <c r="B4" s="843"/>
      <c r="C4" s="843"/>
      <c r="D4" s="843"/>
      <c r="E4" s="843"/>
      <c r="F4" s="843"/>
      <c r="G4" s="843"/>
      <c r="H4" s="843"/>
      <c r="I4" s="843"/>
      <c r="J4" s="843"/>
    </row>
    <row r="5" spans="1:32" ht="15" customHeight="1">
      <c r="J5" s="352"/>
    </row>
    <row r="6" spans="1:32" ht="22.5" customHeight="1">
      <c r="A6" s="833" t="s">
        <v>353</v>
      </c>
      <c r="B6" s="833"/>
      <c r="C6" s="4"/>
      <c r="D6" s="352"/>
      <c r="E6" s="4"/>
      <c r="F6" s="4"/>
      <c r="G6" s="4"/>
      <c r="H6" s="4"/>
      <c r="I6" s="4"/>
      <c r="J6" s="352"/>
    </row>
    <row r="7" spans="1:32" ht="25.5" customHeight="1">
      <c r="A7" s="838">
        <f>'Sch-1'!A7</f>
        <v>0</v>
      </c>
      <c r="B7" s="838"/>
      <c r="C7" s="838"/>
      <c r="D7" s="838"/>
      <c r="E7" s="838"/>
      <c r="F7" s="838"/>
      <c r="G7" s="596"/>
      <c r="H7" s="456" t="s">
        <v>1</v>
      </c>
      <c r="I7" s="596"/>
      <c r="J7" s="352"/>
    </row>
    <row r="8" spans="1:32" ht="29.25" customHeight="1">
      <c r="A8" s="834" t="str">
        <f>"Bidder’s Name and Address  (" &amp; MID('Names of Bidder'!B9,9, 20) &amp; ") :"</f>
        <v>Bidder’s Name and Address  (Sole Bidder) :</v>
      </c>
      <c r="B8" s="834"/>
      <c r="C8" s="834"/>
      <c r="D8" s="834"/>
      <c r="E8" s="834"/>
      <c r="F8" s="834"/>
      <c r="G8" s="834"/>
      <c r="H8" s="457" t="s">
        <v>2</v>
      </c>
      <c r="I8" s="549"/>
      <c r="J8" s="352"/>
    </row>
    <row r="9" spans="1:32" ht="26.25" customHeight="1">
      <c r="A9" s="462" t="s">
        <v>12</v>
      </c>
      <c r="B9" s="408"/>
      <c r="C9" s="837" t="str">
        <f>IF('Names of Bidder'!D9=0, "", 'Names of Bidder'!D9)</f>
        <v/>
      </c>
      <c r="D9" s="837"/>
      <c r="E9" s="837"/>
      <c r="F9" s="598"/>
      <c r="G9" s="598"/>
      <c r="H9" s="457" t="s">
        <v>3</v>
      </c>
      <c r="I9" s="409"/>
      <c r="J9" s="352"/>
    </row>
    <row r="10" spans="1:32" ht="17.25" customHeight="1">
      <c r="A10" s="462" t="s">
        <v>11</v>
      </c>
      <c r="B10" s="408"/>
      <c r="C10" s="836" t="str">
        <f>IF('Names of Bidder'!D10=0, "", 'Names of Bidder'!D10)</f>
        <v/>
      </c>
      <c r="D10" s="836"/>
      <c r="E10" s="836"/>
      <c r="F10" s="598"/>
      <c r="G10" s="598"/>
      <c r="H10" s="457" t="s">
        <v>4</v>
      </c>
      <c r="I10" s="409"/>
      <c r="J10" s="352"/>
    </row>
    <row r="11" spans="1:32" ht="18" customHeight="1">
      <c r="A11" s="409"/>
      <c r="B11" s="409"/>
      <c r="C11" s="836" t="str">
        <f>IF('Names of Bidder'!D11=0, "", 'Names of Bidder'!D11)</f>
        <v/>
      </c>
      <c r="D11" s="836"/>
      <c r="E11" s="836"/>
      <c r="F11" s="598"/>
      <c r="G11" s="598"/>
      <c r="H11" s="457" t="s">
        <v>5</v>
      </c>
      <c r="I11" s="409"/>
      <c r="J11" s="352"/>
    </row>
    <row r="12" spans="1:32" ht="18" customHeight="1">
      <c r="A12" s="409"/>
      <c r="B12" s="409"/>
      <c r="C12" s="836" t="str">
        <f>IF('Names of Bidder'!D12=0, "", 'Names of Bidder'!D12)</f>
        <v/>
      </c>
      <c r="D12" s="836"/>
      <c r="E12" s="836"/>
      <c r="F12" s="598"/>
      <c r="G12" s="598"/>
      <c r="H12" s="457" t="s">
        <v>6</v>
      </c>
      <c r="I12" s="409"/>
      <c r="J12" s="352"/>
    </row>
    <row r="13" spans="1:32" s="472" customFormat="1" ht="26.45" customHeight="1">
      <c r="A13" s="840" t="s">
        <v>367</v>
      </c>
      <c r="B13" s="840"/>
      <c r="C13" s="840"/>
      <c r="D13" s="840"/>
      <c r="E13" s="840"/>
      <c r="F13" s="840"/>
      <c r="G13" s="840"/>
      <c r="H13" s="840"/>
      <c r="I13" s="840"/>
      <c r="J13" s="840"/>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46" t="s">
        <v>358</v>
      </c>
      <c r="J14" s="846"/>
    </row>
    <row r="15" spans="1:32" ht="102" customHeight="1">
      <c r="A15" s="13" t="s">
        <v>7</v>
      </c>
      <c r="B15" s="17" t="s">
        <v>267</v>
      </c>
      <c r="C15" s="17" t="s">
        <v>279</v>
      </c>
      <c r="D15" s="17" t="s">
        <v>281</v>
      </c>
      <c r="E15" s="17" t="s">
        <v>13</v>
      </c>
      <c r="F15" s="14" t="s">
        <v>15</v>
      </c>
      <c r="G15" s="14" t="s">
        <v>9</v>
      </c>
      <c r="H15" s="14" t="s">
        <v>16</v>
      </c>
      <c r="I15" s="14" t="s">
        <v>366</v>
      </c>
      <c r="J15" s="15" t="s">
        <v>365</v>
      </c>
    </row>
    <row r="16" spans="1:32" s="611" customFormat="1">
      <c r="A16" s="605">
        <v>1</v>
      </c>
      <c r="B16" s="605">
        <v>2</v>
      </c>
      <c r="C16" s="605">
        <v>3</v>
      </c>
      <c r="D16" s="605">
        <v>4</v>
      </c>
      <c r="E16" s="605">
        <v>5</v>
      </c>
      <c r="F16" s="605">
        <v>6</v>
      </c>
      <c r="G16" s="605">
        <v>7</v>
      </c>
      <c r="H16" s="605">
        <v>8</v>
      </c>
      <c r="I16" s="605">
        <v>9</v>
      </c>
      <c r="J16" s="605" t="s">
        <v>359</v>
      </c>
      <c r="K16" s="609"/>
      <c r="L16" s="609"/>
      <c r="M16" s="609"/>
      <c r="N16" s="609"/>
      <c r="O16" s="609"/>
      <c r="P16" s="609"/>
      <c r="Q16" s="609"/>
      <c r="R16" s="610"/>
      <c r="S16" s="610"/>
      <c r="T16" s="610"/>
      <c r="U16" s="610"/>
      <c r="V16" s="610"/>
      <c r="W16" s="610"/>
      <c r="X16" s="610"/>
      <c r="Y16" s="610"/>
      <c r="Z16" s="610"/>
      <c r="AA16" s="610"/>
      <c r="AB16" s="610"/>
    </row>
    <row r="17" spans="1:28" s="762" customFormat="1" ht="29.25" customHeight="1">
      <c r="A17" s="751"/>
      <c r="B17" s="753" t="s">
        <v>593</v>
      </c>
      <c r="C17" s="751"/>
      <c r="D17" s="751"/>
      <c r="E17" s="751"/>
      <c r="F17" s="751"/>
      <c r="G17" s="751"/>
      <c r="H17" s="751"/>
      <c r="I17" s="759"/>
      <c r="J17" s="751"/>
      <c r="K17" s="760"/>
      <c r="L17" s="760"/>
      <c r="M17" s="760"/>
      <c r="N17" s="760"/>
      <c r="O17" s="760"/>
      <c r="P17" s="760"/>
      <c r="Q17" s="760"/>
      <c r="R17" s="761"/>
      <c r="S17" s="761"/>
      <c r="T17" s="761"/>
      <c r="U17" s="761"/>
      <c r="V17" s="761"/>
      <c r="W17" s="761"/>
      <c r="X17" s="761"/>
      <c r="Y17" s="761"/>
      <c r="Z17" s="761"/>
      <c r="AA17" s="761"/>
      <c r="AB17" s="761"/>
    </row>
    <row r="18" spans="1:28" ht="31.5">
      <c r="A18" s="736">
        <v>1</v>
      </c>
      <c r="B18" s="546">
        <v>7000016118</v>
      </c>
      <c r="C18" s="546">
        <v>10</v>
      </c>
      <c r="D18" s="546" t="s">
        <v>554</v>
      </c>
      <c r="E18" s="546">
        <v>1000009713</v>
      </c>
      <c r="F18" s="538" t="s">
        <v>567</v>
      </c>
      <c r="G18" s="546" t="s">
        <v>301</v>
      </c>
      <c r="H18" s="546">
        <v>2</v>
      </c>
      <c r="I18" s="547"/>
      <c r="J18" s="548" t="str">
        <f t="shared" ref="J18:J19" si="0">IF(I18=0, "INCLUDED", IF(ISERROR(I18*H18), I18, I18*H18))</f>
        <v>INCLUDED</v>
      </c>
    </row>
    <row r="19" spans="1:28" ht="31.5">
      <c r="A19" s="736">
        <v>2</v>
      </c>
      <c r="B19" s="546">
        <v>7000016118</v>
      </c>
      <c r="C19" s="546">
        <v>30</v>
      </c>
      <c r="D19" s="546" t="s">
        <v>554</v>
      </c>
      <c r="E19" s="546">
        <v>1000004589</v>
      </c>
      <c r="F19" s="538" t="s">
        <v>568</v>
      </c>
      <c r="G19" s="546" t="s">
        <v>302</v>
      </c>
      <c r="H19" s="546">
        <v>1</v>
      </c>
      <c r="I19" s="547"/>
      <c r="J19" s="548" t="str">
        <f t="shared" si="0"/>
        <v>INCLUDED</v>
      </c>
    </row>
    <row r="20" spans="1:28" ht="31.5">
      <c r="A20" s="736">
        <v>3</v>
      </c>
      <c r="B20" s="546">
        <v>7000016118</v>
      </c>
      <c r="C20" s="546">
        <v>60</v>
      </c>
      <c r="D20" s="546" t="s">
        <v>554</v>
      </c>
      <c r="E20" s="546">
        <v>1000004438</v>
      </c>
      <c r="F20" s="538" t="s">
        <v>569</v>
      </c>
      <c r="G20" s="546" t="s">
        <v>302</v>
      </c>
      <c r="H20" s="546">
        <v>1</v>
      </c>
      <c r="I20" s="547"/>
      <c r="J20" s="548" t="str">
        <f t="shared" ref="J20:J67" si="1">IF(I20=0, "INCLUDED", IF(ISERROR(I20*H20), I20, I20*H20))</f>
        <v>INCLUDED</v>
      </c>
    </row>
    <row r="21" spans="1:28" ht="31.5">
      <c r="A21" s="736">
        <v>4</v>
      </c>
      <c r="B21" s="546">
        <v>7000016118</v>
      </c>
      <c r="C21" s="546">
        <v>20</v>
      </c>
      <c r="D21" s="546" t="s">
        <v>554</v>
      </c>
      <c r="E21" s="546">
        <v>1000032801</v>
      </c>
      <c r="F21" s="538" t="s">
        <v>570</v>
      </c>
      <c r="G21" s="546" t="s">
        <v>302</v>
      </c>
      <c r="H21" s="546">
        <v>2</v>
      </c>
      <c r="I21" s="547"/>
      <c r="J21" s="548" t="str">
        <f t="shared" si="1"/>
        <v>INCLUDED</v>
      </c>
    </row>
    <row r="22" spans="1:28" ht="31.5">
      <c r="A22" s="736">
        <v>5</v>
      </c>
      <c r="B22" s="546">
        <v>7000016118</v>
      </c>
      <c r="C22" s="546">
        <v>40</v>
      </c>
      <c r="D22" s="546" t="s">
        <v>554</v>
      </c>
      <c r="E22" s="546">
        <v>1000032793</v>
      </c>
      <c r="F22" s="538" t="s">
        <v>571</v>
      </c>
      <c r="G22" s="546" t="s">
        <v>302</v>
      </c>
      <c r="H22" s="546">
        <v>3</v>
      </c>
      <c r="I22" s="547"/>
      <c r="J22" s="548" t="str">
        <f t="shared" si="1"/>
        <v>INCLUDED</v>
      </c>
    </row>
    <row r="23" spans="1:28" ht="57" customHeight="1">
      <c r="A23" s="736">
        <v>6</v>
      </c>
      <c r="B23" s="546">
        <v>7000016118</v>
      </c>
      <c r="C23" s="546">
        <v>50</v>
      </c>
      <c r="D23" s="546" t="s">
        <v>554</v>
      </c>
      <c r="E23" s="546">
        <v>1000004282</v>
      </c>
      <c r="F23" s="538" t="s">
        <v>572</v>
      </c>
      <c r="G23" s="546" t="s">
        <v>478</v>
      </c>
      <c r="H23" s="546">
        <v>1500</v>
      </c>
      <c r="I23" s="547"/>
      <c r="J23" s="548" t="str">
        <f t="shared" si="1"/>
        <v>INCLUDED</v>
      </c>
    </row>
    <row r="24" spans="1:28" ht="51" customHeight="1">
      <c r="A24" s="736">
        <v>7</v>
      </c>
      <c r="B24" s="546">
        <v>7000016118</v>
      </c>
      <c r="C24" s="546">
        <v>70</v>
      </c>
      <c r="D24" s="546" t="s">
        <v>555</v>
      </c>
      <c r="E24" s="546">
        <v>1000004401</v>
      </c>
      <c r="F24" s="538" t="s">
        <v>480</v>
      </c>
      <c r="G24" s="546" t="s">
        <v>301</v>
      </c>
      <c r="H24" s="546">
        <v>3</v>
      </c>
      <c r="I24" s="547"/>
      <c r="J24" s="548" t="str">
        <f t="shared" si="1"/>
        <v>INCLUDED</v>
      </c>
    </row>
    <row r="25" spans="1:28" ht="57.75" customHeight="1">
      <c r="A25" s="736">
        <v>8</v>
      </c>
      <c r="B25" s="546">
        <v>7000016118</v>
      </c>
      <c r="C25" s="546">
        <v>80</v>
      </c>
      <c r="D25" s="546" t="s">
        <v>555</v>
      </c>
      <c r="E25" s="546">
        <v>1000020420</v>
      </c>
      <c r="F25" s="538" t="s">
        <v>573</v>
      </c>
      <c r="G25" s="546" t="s">
        <v>301</v>
      </c>
      <c r="H25" s="546">
        <v>3</v>
      </c>
      <c r="I25" s="547"/>
      <c r="J25" s="548" t="str">
        <f t="shared" si="1"/>
        <v>INCLUDED</v>
      </c>
    </row>
    <row r="26" spans="1:28" ht="130.5" customHeight="1">
      <c r="A26" s="736">
        <v>9</v>
      </c>
      <c r="B26" s="546">
        <v>7000016118</v>
      </c>
      <c r="C26" s="546">
        <v>90</v>
      </c>
      <c r="D26" s="546" t="s">
        <v>556</v>
      </c>
      <c r="E26" s="546">
        <v>1000011334</v>
      </c>
      <c r="F26" s="538" t="s">
        <v>574</v>
      </c>
      <c r="G26" s="546" t="s">
        <v>302</v>
      </c>
      <c r="H26" s="546">
        <v>1</v>
      </c>
      <c r="I26" s="547"/>
      <c r="J26" s="548" t="str">
        <f t="shared" si="1"/>
        <v>INCLUDED</v>
      </c>
    </row>
    <row r="27" spans="1:28" ht="31.5">
      <c r="A27" s="736">
        <v>10</v>
      </c>
      <c r="B27" s="546">
        <v>7000016118</v>
      </c>
      <c r="C27" s="546">
        <v>100</v>
      </c>
      <c r="D27" s="546" t="s">
        <v>556</v>
      </c>
      <c r="E27" s="546">
        <v>1000004302</v>
      </c>
      <c r="F27" s="538" t="s">
        <v>506</v>
      </c>
      <c r="G27" s="546" t="s">
        <v>478</v>
      </c>
      <c r="H27" s="546">
        <v>200</v>
      </c>
      <c r="I27" s="547"/>
      <c r="J27" s="548" t="str">
        <f t="shared" si="1"/>
        <v>INCLUDED</v>
      </c>
    </row>
    <row r="28" spans="1:28" ht="47.25">
      <c r="A28" s="736">
        <v>11</v>
      </c>
      <c r="B28" s="546">
        <v>7000016118</v>
      </c>
      <c r="C28" s="546">
        <v>110</v>
      </c>
      <c r="D28" s="546" t="s">
        <v>557</v>
      </c>
      <c r="E28" s="546">
        <v>1000002146</v>
      </c>
      <c r="F28" s="538" t="s">
        <v>493</v>
      </c>
      <c r="G28" s="546" t="s">
        <v>302</v>
      </c>
      <c r="H28" s="546">
        <v>1</v>
      </c>
      <c r="I28" s="547"/>
      <c r="J28" s="548" t="str">
        <f t="shared" si="1"/>
        <v>INCLUDED</v>
      </c>
    </row>
    <row r="29" spans="1:28" ht="31.5">
      <c r="A29" s="736">
        <v>12</v>
      </c>
      <c r="B29" s="546">
        <v>7000016118</v>
      </c>
      <c r="C29" s="546">
        <v>120</v>
      </c>
      <c r="D29" s="546" t="s">
        <v>557</v>
      </c>
      <c r="E29" s="546">
        <v>1000002163</v>
      </c>
      <c r="F29" s="538" t="s">
        <v>481</v>
      </c>
      <c r="G29" s="546" t="s">
        <v>301</v>
      </c>
      <c r="H29" s="546">
        <v>2</v>
      </c>
      <c r="I29" s="547"/>
      <c r="J29" s="548" t="str">
        <f t="shared" si="1"/>
        <v>INCLUDED</v>
      </c>
    </row>
    <row r="30" spans="1:28" ht="37.5" customHeight="1">
      <c r="A30" s="736">
        <v>13</v>
      </c>
      <c r="B30" s="546">
        <v>7000016118</v>
      </c>
      <c r="C30" s="546">
        <v>130</v>
      </c>
      <c r="D30" s="546" t="s">
        <v>557</v>
      </c>
      <c r="E30" s="546">
        <v>1000004274</v>
      </c>
      <c r="F30" s="538" t="s">
        <v>492</v>
      </c>
      <c r="G30" s="546" t="s">
        <v>301</v>
      </c>
      <c r="H30" s="546">
        <v>1</v>
      </c>
      <c r="I30" s="547"/>
      <c r="J30" s="548" t="str">
        <f t="shared" si="1"/>
        <v>INCLUDED</v>
      </c>
    </row>
    <row r="31" spans="1:28" ht="57" customHeight="1">
      <c r="A31" s="736">
        <v>14</v>
      </c>
      <c r="B31" s="546">
        <v>7000016118</v>
      </c>
      <c r="C31" s="546">
        <v>140</v>
      </c>
      <c r="D31" s="546" t="s">
        <v>557</v>
      </c>
      <c r="E31" s="546">
        <v>1000001168</v>
      </c>
      <c r="F31" s="538" t="s">
        <v>494</v>
      </c>
      <c r="G31" s="546" t="s">
        <v>301</v>
      </c>
      <c r="H31" s="546">
        <v>1</v>
      </c>
      <c r="I31" s="547"/>
      <c r="J31" s="548" t="str">
        <f t="shared" si="1"/>
        <v>INCLUDED</v>
      </c>
    </row>
    <row r="32" spans="1:28" ht="47.25">
      <c r="A32" s="736">
        <v>15</v>
      </c>
      <c r="B32" s="546">
        <v>7000016118</v>
      </c>
      <c r="C32" s="546">
        <v>150</v>
      </c>
      <c r="D32" s="546" t="s">
        <v>557</v>
      </c>
      <c r="E32" s="546">
        <v>1000001167</v>
      </c>
      <c r="F32" s="538" t="s">
        <v>541</v>
      </c>
      <c r="G32" s="546" t="s">
        <v>302</v>
      </c>
      <c r="H32" s="546">
        <v>1</v>
      </c>
      <c r="I32" s="547"/>
      <c r="J32" s="548" t="str">
        <f t="shared" si="1"/>
        <v>INCLUDED</v>
      </c>
    </row>
    <row r="33" spans="1:10" ht="31.5">
      <c r="A33" s="736">
        <v>16</v>
      </c>
      <c r="B33" s="546">
        <v>7000016118</v>
      </c>
      <c r="C33" s="546">
        <v>160</v>
      </c>
      <c r="D33" s="546" t="s">
        <v>558</v>
      </c>
      <c r="E33" s="546">
        <v>1000003409</v>
      </c>
      <c r="F33" s="538" t="s">
        <v>483</v>
      </c>
      <c r="G33" s="546" t="s">
        <v>301</v>
      </c>
      <c r="H33" s="546">
        <v>1</v>
      </c>
      <c r="I33" s="547"/>
      <c r="J33" s="548" t="str">
        <f t="shared" si="1"/>
        <v>INCLUDED</v>
      </c>
    </row>
    <row r="34" spans="1:10" ht="31.5">
      <c r="A34" s="736">
        <v>17</v>
      </c>
      <c r="B34" s="546">
        <v>7000016118</v>
      </c>
      <c r="C34" s="546">
        <v>180</v>
      </c>
      <c r="D34" s="546" t="s">
        <v>558</v>
      </c>
      <c r="E34" s="546">
        <v>1000003411</v>
      </c>
      <c r="F34" s="538" t="s">
        <v>482</v>
      </c>
      <c r="G34" s="546" t="s">
        <v>301</v>
      </c>
      <c r="H34" s="546">
        <v>1</v>
      </c>
      <c r="I34" s="547"/>
      <c r="J34" s="548" t="str">
        <f t="shared" si="1"/>
        <v>INCLUDED</v>
      </c>
    </row>
    <row r="35" spans="1:10" ht="31.5">
      <c r="A35" s="736">
        <v>18</v>
      </c>
      <c r="B35" s="546">
        <v>7000016118</v>
      </c>
      <c r="C35" s="546">
        <v>170</v>
      </c>
      <c r="D35" s="546" t="s">
        <v>558</v>
      </c>
      <c r="E35" s="546">
        <v>1000001333</v>
      </c>
      <c r="F35" s="538" t="s">
        <v>495</v>
      </c>
      <c r="G35" s="546" t="s">
        <v>301</v>
      </c>
      <c r="H35" s="546">
        <v>1</v>
      </c>
      <c r="I35" s="547"/>
      <c r="J35" s="548" t="str">
        <f t="shared" si="1"/>
        <v>INCLUDED</v>
      </c>
    </row>
    <row r="36" spans="1:10" ht="84.75" customHeight="1">
      <c r="A36" s="736">
        <v>19</v>
      </c>
      <c r="B36" s="546">
        <v>7000016118</v>
      </c>
      <c r="C36" s="546">
        <v>190</v>
      </c>
      <c r="D36" s="546" t="s">
        <v>559</v>
      </c>
      <c r="E36" s="546">
        <v>1000012069</v>
      </c>
      <c r="F36" s="538" t="s">
        <v>496</v>
      </c>
      <c r="G36" s="546" t="s">
        <v>302</v>
      </c>
      <c r="H36" s="546">
        <v>1</v>
      </c>
      <c r="I36" s="547"/>
      <c r="J36" s="548" t="str">
        <f t="shared" si="1"/>
        <v>INCLUDED</v>
      </c>
    </row>
    <row r="37" spans="1:10" ht="47.25">
      <c r="A37" s="736">
        <v>20</v>
      </c>
      <c r="B37" s="546">
        <v>7000016118</v>
      </c>
      <c r="C37" s="546">
        <v>200</v>
      </c>
      <c r="D37" s="546" t="s">
        <v>559</v>
      </c>
      <c r="E37" s="546">
        <v>1000012037</v>
      </c>
      <c r="F37" s="538" t="s">
        <v>575</v>
      </c>
      <c r="G37" s="546" t="s">
        <v>302</v>
      </c>
      <c r="H37" s="546">
        <v>1</v>
      </c>
      <c r="I37" s="547"/>
      <c r="J37" s="548" t="str">
        <f t="shared" si="1"/>
        <v>INCLUDED</v>
      </c>
    </row>
    <row r="38" spans="1:10" ht="31.5">
      <c r="A38" s="736">
        <v>21</v>
      </c>
      <c r="B38" s="546">
        <v>7000016118</v>
      </c>
      <c r="C38" s="546">
        <v>210</v>
      </c>
      <c r="D38" s="546" t="s">
        <v>540</v>
      </c>
      <c r="E38" s="546">
        <v>1000014547</v>
      </c>
      <c r="F38" s="538" t="s">
        <v>576</v>
      </c>
      <c r="G38" s="546" t="s">
        <v>301</v>
      </c>
      <c r="H38" s="546">
        <v>1</v>
      </c>
      <c r="I38" s="547"/>
      <c r="J38" s="548" t="str">
        <f t="shared" si="1"/>
        <v>INCLUDED</v>
      </c>
    </row>
    <row r="39" spans="1:10" ht="31.5">
      <c r="A39" s="736">
        <v>22</v>
      </c>
      <c r="B39" s="546">
        <v>7000016118</v>
      </c>
      <c r="C39" s="546">
        <v>220</v>
      </c>
      <c r="D39" s="546" t="s">
        <v>540</v>
      </c>
      <c r="E39" s="546">
        <v>1000020262</v>
      </c>
      <c r="F39" s="538" t="s">
        <v>484</v>
      </c>
      <c r="G39" s="546" t="s">
        <v>301</v>
      </c>
      <c r="H39" s="546">
        <v>1</v>
      </c>
      <c r="I39" s="547"/>
      <c r="J39" s="548" t="str">
        <f t="shared" si="1"/>
        <v>INCLUDED</v>
      </c>
    </row>
    <row r="40" spans="1:10" ht="39" customHeight="1">
      <c r="A40" s="736">
        <v>23</v>
      </c>
      <c r="B40" s="546">
        <v>7000016118</v>
      </c>
      <c r="C40" s="546">
        <v>230</v>
      </c>
      <c r="D40" s="546" t="s">
        <v>540</v>
      </c>
      <c r="E40" s="546">
        <v>1000014535</v>
      </c>
      <c r="F40" s="538" t="s">
        <v>577</v>
      </c>
      <c r="G40" s="546" t="s">
        <v>301</v>
      </c>
      <c r="H40" s="546">
        <v>2</v>
      </c>
      <c r="I40" s="547"/>
      <c r="J40" s="548" t="str">
        <f t="shared" si="1"/>
        <v>INCLUDED</v>
      </c>
    </row>
    <row r="41" spans="1:10" ht="31.5">
      <c r="A41" s="736">
        <v>24</v>
      </c>
      <c r="B41" s="546">
        <v>7000016118</v>
      </c>
      <c r="C41" s="546">
        <v>240</v>
      </c>
      <c r="D41" s="546" t="s">
        <v>540</v>
      </c>
      <c r="E41" s="546">
        <v>1000014536</v>
      </c>
      <c r="F41" s="538" t="s">
        <v>578</v>
      </c>
      <c r="G41" s="546" t="s">
        <v>301</v>
      </c>
      <c r="H41" s="546">
        <v>2</v>
      </c>
      <c r="I41" s="547"/>
      <c r="J41" s="548" t="str">
        <f t="shared" si="1"/>
        <v>INCLUDED</v>
      </c>
    </row>
    <row r="42" spans="1:10" ht="31.5">
      <c r="A42" s="736">
        <v>25</v>
      </c>
      <c r="B42" s="546">
        <v>7000016118</v>
      </c>
      <c r="C42" s="546">
        <v>250</v>
      </c>
      <c r="D42" s="546" t="s">
        <v>540</v>
      </c>
      <c r="E42" s="546">
        <v>1000004952</v>
      </c>
      <c r="F42" s="538" t="s">
        <v>579</v>
      </c>
      <c r="G42" s="546" t="s">
        <v>301</v>
      </c>
      <c r="H42" s="546">
        <v>1</v>
      </c>
      <c r="I42" s="547"/>
      <c r="J42" s="548" t="str">
        <f t="shared" si="1"/>
        <v>INCLUDED</v>
      </c>
    </row>
    <row r="43" spans="1:10" ht="36" customHeight="1">
      <c r="A43" s="736">
        <v>26</v>
      </c>
      <c r="B43" s="546">
        <v>7000016118</v>
      </c>
      <c r="C43" s="546">
        <v>260</v>
      </c>
      <c r="D43" s="546" t="s">
        <v>540</v>
      </c>
      <c r="E43" s="546">
        <v>1000028444</v>
      </c>
      <c r="F43" s="538" t="s">
        <v>580</v>
      </c>
      <c r="G43" s="546" t="s">
        <v>301</v>
      </c>
      <c r="H43" s="546">
        <v>1</v>
      </c>
      <c r="I43" s="547"/>
      <c r="J43" s="548" t="str">
        <f t="shared" si="1"/>
        <v>INCLUDED</v>
      </c>
    </row>
    <row r="44" spans="1:10" ht="45" customHeight="1">
      <c r="A44" s="736">
        <v>27</v>
      </c>
      <c r="B44" s="546">
        <v>7000016118</v>
      </c>
      <c r="C44" s="546">
        <v>400</v>
      </c>
      <c r="D44" s="546" t="s">
        <v>560</v>
      </c>
      <c r="E44" s="546">
        <v>1000000443</v>
      </c>
      <c r="F44" s="538" t="s">
        <v>486</v>
      </c>
      <c r="G44" s="546" t="s">
        <v>485</v>
      </c>
      <c r="H44" s="546">
        <v>1</v>
      </c>
      <c r="I44" s="547"/>
      <c r="J44" s="548" t="str">
        <f t="shared" si="1"/>
        <v>INCLUDED</v>
      </c>
    </row>
    <row r="45" spans="1:10" ht="139.5" customHeight="1">
      <c r="A45" s="736">
        <v>28</v>
      </c>
      <c r="B45" s="546">
        <v>7000016118</v>
      </c>
      <c r="C45" s="546">
        <v>410</v>
      </c>
      <c r="D45" s="546" t="s">
        <v>560</v>
      </c>
      <c r="E45" s="546">
        <v>1000000442</v>
      </c>
      <c r="F45" s="538" t="s">
        <v>487</v>
      </c>
      <c r="G45" s="546" t="s">
        <v>485</v>
      </c>
      <c r="H45" s="546">
        <v>1</v>
      </c>
      <c r="I45" s="547"/>
      <c r="J45" s="548" t="str">
        <f t="shared" si="1"/>
        <v>INCLUDED</v>
      </c>
    </row>
    <row r="46" spans="1:10" ht="31.5">
      <c r="A46" s="736">
        <v>29</v>
      </c>
      <c r="B46" s="546">
        <v>7000016118</v>
      </c>
      <c r="C46" s="546">
        <v>420</v>
      </c>
      <c r="D46" s="546" t="s">
        <v>560</v>
      </c>
      <c r="E46" s="546">
        <v>1000031951</v>
      </c>
      <c r="F46" s="538" t="s">
        <v>581</v>
      </c>
      <c r="G46" s="546" t="s">
        <v>303</v>
      </c>
      <c r="H46" s="546">
        <v>0.1</v>
      </c>
      <c r="I46" s="547"/>
      <c r="J46" s="548" t="str">
        <f t="shared" si="1"/>
        <v>INCLUDED</v>
      </c>
    </row>
    <row r="47" spans="1:10" ht="63">
      <c r="A47" s="736">
        <v>30</v>
      </c>
      <c r="B47" s="546">
        <v>7000016118</v>
      </c>
      <c r="C47" s="546">
        <v>270</v>
      </c>
      <c r="D47" s="546" t="s">
        <v>561</v>
      </c>
      <c r="E47" s="546">
        <v>1000020195</v>
      </c>
      <c r="F47" s="538" t="s">
        <v>488</v>
      </c>
      <c r="G47" s="546" t="s">
        <v>301</v>
      </c>
      <c r="H47" s="546">
        <v>3</v>
      </c>
      <c r="I47" s="547"/>
      <c r="J47" s="548" t="str">
        <f t="shared" si="1"/>
        <v>INCLUDED</v>
      </c>
    </row>
    <row r="48" spans="1:10" ht="39.75" customHeight="1">
      <c r="A48" s="736">
        <v>31</v>
      </c>
      <c r="B48" s="546">
        <v>7000016118</v>
      </c>
      <c r="C48" s="546">
        <v>280</v>
      </c>
      <c r="D48" s="546" t="s">
        <v>561</v>
      </c>
      <c r="E48" s="546">
        <v>1000020190</v>
      </c>
      <c r="F48" s="538" t="s">
        <v>497</v>
      </c>
      <c r="G48" s="546" t="s">
        <v>301</v>
      </c>
      <c r="H48" s="546">
        <v>3</v>
      </c>
      <c r="I48" s="547"/>
      <c r="J48" s="548" t="str">
        <f t="shared" si="1"/>
        <v>INCLUDED</v>
      </c>
    </row>
    <row r="49" spans="1:10" ht="54" customHeight="1">
      <c r="A49" s="736">
        <v>32</v>
      </c>
      <c r="B49" s="546">
        <v>7000016118</v>
      </c>
      <c r="C49" s="546">
        <v>290</v>
      </c>
      <c r="D49" s="546" t="s">
        <v>561</v>
      </c>
      <c r="E49" s="546">
        <v>1000020196</v>
      </c>
      <c r="F49" s="538" t="s">
        <v>582</v>
      </c>
      <c r="G49" s="546" t="s">
        <v>301</v>
      </c>
      <c r="H49" s="546">
        <v>3</v>
      </c>
      <c r="I49" s="547"/>
      <c r="J49" s="548" t="str">
        <f t="shared" si="1"/>
        <v>INCLUDED</v>
      </c>
    </row>
    <row r="50" spans="1:10" ht="47.25">
      <c r="A50" s="736">
        <v>33</v>
      </c>
      <c r="B50" s="546">
        <v>7000016118</v>
      </c>
      <c r="C50" s="546">
        <v>300</v>
      </c>
      <c r="D50" s="546" t="s">
        <v>561</v>
      </c>
      <c r="E50" s="546">
        <v>1000015952</v>
      </c>
      <c r="F50" s="538" t="s">
        <v>500</v>
      </c>
      <c r="G50" s="546" t="s">
        <v>300</v>
      </c>
      <c r="H50" s="546">
        <v>1.1000000000000001</v>
      </c>
      <c r="I50" s="547"/>
      <c r="J50" s="548" t="str">
        <f t="shared" si="1"/>
        <v>INCLUDED</v>
      </c>
    </row>
    <row r="51" spans="1:10" ht="39.75" customHeight="1">
      <c r="A51" s="736">
        <v>34</v>
      </c>
      <c r="B51" s="546">
        <v>7000016118</v>
      </c>
      <c r="C51" s="546">
        <v>310</v>
      </c>
      <c r="D51" s="546" t="s">
        <v>561</v>
      </c>
      <c r="E51" s="546">
        <v>1000011713</v>
      </c>
      <c r="F51" s="538" t="s">
        <v>501</v>
      </c>
      <c r="G51" s="546" t="s">
        <v>300</v>
      </c>
      <c r="H51" s="546">
        <v>0.02</v>
      </c>
      <c r="I51" s="547"/>
      <c r="J51" s="548" t="str">
        <f t="shared" si="1"/>
        <v>INCLUDED</v>
      </c>
    </row>
    <row r="52" spans="1:10" ht="42" customHeight="1">
      <c r="A52" s="736">
        <v>35</v>
      </c>
      <c r="B52" s="546">
        <v>7000016118</v>
      </c>
      <c r="C52" s="546">
        <v>470</v>
      </c>
      <c r="D52" s="546" t="s">
        <v>562</v>
      </c>
      <c r="E52" s="546">
        <v>1000001571</v>
      </c>
      <c r="F52" s="538" t="s">
        <v>583</v>
      </c>
      <c r="G52" s="546" t="s">
        <v>478</v>
      </c>
      <c r="H52" s="546">
        <v>210</v>
      </c>
      <c r="I52" s="547"/>
      <c r="J52" s="548" t="str">
        <f t="shared" si="1"/>
        <v>INCLUDED</v>
      </c>
    </row>
    <row r="53" spans="1:10" ht="47.25">
      <c r="A53" s="736">
        <v>36</v>
      </c>
      <c r="B53" s="546">
        <v>7000016118</v>
      </c>
      <c r="C53" s="546">
        <v>440</v>
      </c>
      <c r="D53" s="546" t="s">
        <v>562</v>
      </c>
      <c r="E53" s="546">
        <v>1000032783</v>
      </c>
      <c r="F53" s="538" t="s">
        <v>584</v>
      </c>
      <c r="G53" s="546" t="s">
        <v>302</v>
      </c>
      <c r="H53" s="546">
        <v>2</v>
      </c>
      <c r="I53" s="547"/>
      <c r="J53" s="548" t="str">
        <f t="shared" si="1"/>
        <v>INCLUDED</v>
      </c>
    </row>
    <row r="54" spans="1:10" ht="54" customHeight="1">
      <c r="A54" s="736">
        <v>37</v>
      </c>
      <c r="B54" s="546">
        <v>7000016118</v>
      </c>
      <c r="C54" s="546">
        <v>450</v>
      </c>
      <c r="D54" s="546" t="s">
        <v>562</v>
      </c>
      <c r="E54" s="546">
        <v>1000001678</v>
      </c>
      <c r="F54" s="538" t="s">
        <v>585</v>
      </c>
      <c r="G54" s="546" t="s">
        <v>302</v>
      </c>
      <c r="H54" s="546">
        <v>1</v>
      </c>
      <c r="I54" s="547"/>
      <c r="J54" s="548" t="str">
        <f t="shared" si="1"/>
        <v>INCLUDED</v>
      </c>
    </row>
    <row r="55" spans="1:10" ht="53.25" customHeight="1">
      <c r="A55" s="736">
        <v>38</v>
      </c>
      <c r="B55" s="546">
        <v>7000016118</v>
      </c>
      <c r="C55" s="546">
        <v>460</v>
      </c>
      <c r="D55" s="546" t="s">
        <v>562</v>
      </c>
      <c r="E55" s="546">
        <v>1000032764</v>
      </c>
      <c r="F55" s="538" t="s">
        <v>586</v>
      </c>
      <c r="G55" s="546" t="s">
        <v>302</v>
      </c>
      <c r="H55" s="546">
        <v>3</v>
      </c>
      <c r="I55" s="547"/>
      <c r="J55" s="548" t="str">
        <f t="shared" si="1"/>
        <v>INCLUDED</v>
      </c>
    </row>
    <row r="56" spans="1:10" ht="36" customHeight="1">
      <c r="A56" s="736">
        <v>39</v>
      </c>
      <c r="B56" s="546">
        <v>7000016118</v>
      </c>
      <c r="C56" s="546">
        <v>480</v>
      </c>
      <c r="D56" s="546" t="s">
        <v>563</v>
      </c>
      <c r="E56" s="546">
        <v>1000020417</v>
      </c>
      <c r="F56" s="538" t="s">
        <v>490</v>
      </c>
      <c r="G56" s="546" t="s">
        <v>301</v>
      </c>
      <c r="H56" s="546">
        <v>3</v>
      </c>
      <c r="I56" s="547"/>
      <c r="J56" s="548" t="str">
        <f t="shared" si="1"/>
        <v>INCLUDED</v>
      </c>
    </row>
    <row r="57" spans="1:10" ht="31.5">
      <c r="A57" s="736">
        <v>40</v>
      </c>
      <c r="B57" s="546">
        <v>7000016118</v>
      </c>
      <c r="C57" s="546">
        <v>490</v>
      </c>
      <c r="D57" s="546" t="s">
        <v>563</v>
      </c>
      <c r="E57" s="546">
        <v>1000001695</v>
      </c>
      <c r="F57" s="538" t="s">
        <v>491</v>
      </c>
      <c r="G57" s="546" t="s">
        <v>301</v>
      </c>
      <c r="H57" s="546">
        <v>6</v>
      </c>
      <c r="I57" s="547"/>
      <c r="J57" s="548" t="str">
        <f t="shared" si="1"/>
        <v>INCLUDED</v>
      </c>
    </row>
    <row r="58" spans="1:10" ht="47.25">
      <c r="A58" s="736">
        <v>41</v>
      </c>
      <c r="B58" s="546">
        <v>7000016118</v>
      </c>
      <c r="C58" s="546">
        <v>500</v>
      </c>
      <c r="D58" s="546" t="s">
        <v>564</v>
      </c>
      <c r="E58" s="546">
        <v>1000011252</v>
      </c>
      <c r="F58" s="538" t="s">
        <v>587</v>
      </c>
      <c r="G58" s="546" t="s">
        <v>302</v>
      </c>
      <c r="H58" s="546">
        <v>1</v>
      </c>
      <c r="I58" s="547"/>
      <c r="J58" s="548" t="str">
        <f t="shared" si="1"/>
        <v>INCLUDED</v>
      </c>
    </row>
    <row r="59" spans="1:10" ht="31.5">
      <c r="A59" s="736">
        <v>42</v>
      </c>
      <c r="B59" s="546">
        <v>7000016118</v>
      </c>
      <c r="C59" s="546">
        <v>540</v>
      </c>
      <c r="D59" s="546" t="s">
        <v>565</v>
      </c>
      <c r="E59" s="546">
        <v>1000019925</v>
      </c>
      <c r="F59" s="538" t="s">
        <v>588</v>
      </c>
      <c r="G59" s="546" t="s">
        <v>485</v>
      </c>
      <c r="H59" s="546">
        <v>1</v>
      </c>
      <c r="I59" s="547"/>
      <c r="J59" s="548" t="str">
        <f t="shared" si="1"/>
        <v>INCLUDED</v>
      </c>
    </row>
    <row r="60" spans="1:10" ht="31.5">
      <c r="A60" s="736">
        <v>43</v>
      </c>
      <c r="B60" s="546">
        <v>7000016118</v>
      </c>
      <c r="C60" s="546">
        <v>550</v>
      </c>
      <c r="D60" s="546" t="s">
        <v>565</v>
      </c>
      <c r="E60" s="546">
        <v>1000025949</v>
      </c>
      <c r="F60" s="538" t="s">
        <v>589</v>
      </c>
      <c r="G60" s="546" t="s">
        <v>302</v>
      </c>
      <c r="H60" s="546">
        <v>1</v>
      </c>
      <c r="I60" s="547"/>
      <c r="J60" s="548" t="str">
        <f t="shared" si="1"/>
        <v>INCLUDED</v>
      </c>
    </row>
    <row r="61" spans="1:10" ht="31.5">
      <c r="A61" s="736">
        <v>44</v>
      </c>
      <c r="B61" s="546">
        <v>7000016118</v>
      </c>
      <c r="C61" s="546">
        <v>560</v>
      </c>
      <c r="D61" s="546" t="s">
        <v>565</v>
      </c>
      <c r="E61" s="546">
        <v>1000025945</v>
      </c>
      <c r="F61" s="538" t="s">
        <v>590</v>
      </c>
      <c r="G61" s="546" t="s">
        <v>302</v>
      </c>
      <c r="H61" s="546">
        <v>1</v>
      </c>
      <c r="I61" s="547"/>
      <c r="J61" s="548" t="str">
        <f t="shared" si="1"/>
        <v>INCLUDED</v>
      </c>
    </row>
    <row r="62" spans="1:10" ht="31.5">
      <c r="A62" s="736">
        <v>45</v>
      </c>
      <c r="B62" s="546">
        <v>7000016118</v>
      </c>
      <c r="C62" s="546">
        <v>570</v>
      </c>
      <c r="D62" s="546" t="s">
        <v>565</v>
      </c>
      <c r="E62" s="546">
        <v>1000027478</v>
      </c>
      <c r="F62" s="538" t="s">
        <v>591</v>
      </c>
      <c r="G62" s="546" t="s">
        <v>302</v>
      </c>
      <c r="H62" s="546">
        <v>1</v>
      </c>
      <c r="I62" s="547"/>
      <c r="J62" s="548" t="str">
        <f t="shared" si="1"/>
        <v>INCLUDED</v>
      </c>
    </row>
    <row r="63" spans="1:10" ht="31.5">
      <c r="A63" s="736">
        <v>46</v>
      </c>
      <c r="B63" s="546">
        <v>7000016118</v>
      </c>
      <c r="C63" s="546">
        <v>590</v>
      </c>
      <c r="D63" s="546" t="s">
        <v>565</v>
      </c>
      <c r="E63" s="546">
        <v>1000028246</v>
      </c>
      <c r="F63" s="538" t="s">
        <v>592</v>
      </c>
      <c r="G63" s="546" t="s">
        <v>485</v>
      </c>
      <c r="H63" s="546">
        <v>1</v>
      </c>
      <c r="I63" s="547"/>
      <c r="J63" s="548" t="str">
        <f t="shared" si="1"/>
        <v>INCLUDED</v>
      </c>
    </row>
    <row r="64" spans="1:10" ht="31.5">
      <c r="A64" s="736">
        <v>47</v>
      </c>
      <c r="B64" s="546">
        <v>7000016118</v>
      </c>
      <c r="C64" s="546">
        <v>580</v>
      </c>
      <c r="D64" s="546" t="s">
        <v>565</v>
      </c>
      <c r="E64" s="546">
        <v>1000025930</v>
      </c>
      <c r="F64" s="538" t="s">
        <v>498</v>
      </c>
      <c r="G64" s="546" t="s">
        <v>302</v>
      </c>
      <c r="H64" s="546">
        <v>1</v>
      </c>
      <c r="I64" s="547"/>
      <c r="J64" s="548" t="str">
        <f t="shared" si="1"/>
        <v>INCLUDED</v>
      </c>
    </row>
    <row r="65" spans="1:11" ht="31.5">
      <c r="A65" s="736">
        <v>48</v>
      </c>
      <c r="B65" s="546">
        <v>7000016118</v>
      </c>
      <c r="C65" s="546">
        <v>600</v>
      </c>
      <c r="D65" s="546" t="s">
        <v>565</v>
      </c>
      <c r="E65" s="546">
        <v>1000019927</v>
      </c>
      <c r="F65" s="538" t="s">
        <v>499</v>
      </c>
      <c r="G65" s="546" t="s">
        <v>485</v>
      </c>
      <c r="H65" s="546">
        <v>1</v>
      </c>
      <c r="I65" s="547"/>
      <c r="J65" s="548" t="str">
        <f t="shared" si="1"/>
        <v>INCLUDED</v>
      </c>
    </row>
    <row r="66" spans="1:11" ht="47.25">
      <c r="A66" s="736">
        <v>49</v>
      </c>
      <c r="B66" s="546">
        <v>7000016118</v>
      </c>
      <c r="C66" s="546">
        <v>610</v>
      </c>
      <c r="D66" s="546" t="s">
        <v>566</v>
      </c>
      <c r="E66" s="546">
        <v>1000012366</v>
      </c>
      <c r="F66" s="538" t="s">
        <v>489</v>
      </c>
      <c r="G66" s="546" t="s">
        <v>301</v>
      </c>
      <c r="H66" s="546">
        <v>36</v>
      </c>
      <c r="I66" s="547"/>
      <c r="J66" s="548" t="str">
        <f t="shared" si="1"/>
        <v>INCLUDED</v>
      </c>
    </row>
    <row r="67" spans="1:11" ht="51" customHeight="1">
      <c r="A67" s="736">
        <v>50</v>
      </c>
      <c r="B67" s="546">
        <v>7000016118</v>
      </c>
      <c r="C67" s="546">
        <v>620</v>
      </c>
      <c r="D67" s="546" t="s">
        <v>566</v>
      </c>
      <c r="E67" s="546">
        <v>1000012373</v>
      </c>
      <c r="F67" s="538" t="s">
        <v>502</v>
      </c>
      <c r="G67" s="546" t="s">
        <v>300</v>
      </c>
      <c r="H67" s="546">
        <v>0.25</v>
      </c>
      <c r="I67" s="547"/>
      <c r="J67" s="548" t="str">
        <f t="shared" si="1"/>
        <v>INCLUDED</v>
      </c>
    </row>
    <row r="68" spans="1:11" ht="33" customHeight="1">
      <c r="A68" s="432"/>
      <c r="B68" s="844" t="s">
        <v>317</v>
      </c>
      <c r="C68" s="844"/>
      <c r="D68" s="844"/>
      <c r="E68" s="473"/>
      <c r="F68" s="474"/>
      <c r="G68" s="475"/>
      <c r="H68" s="475"/>
      <c r="I68" s="473"/>
      <c r="J68" s="745">
        <f>SUM(J18:J67)</f>
        <v>0</v>
      </c>
      <c r="K68" s="476"/>
    </row>
    <row r="69" spans="1:11" ht="57.75" customHeight="1">
      <c r="A69" s="431"/>
      <c r="B69" s="845" t="s">
        <v>352</v>
      </c>
      <c r="C69" s="845"/>
      <c r="D69" s="845"/>
      <c r="E69" s="845"/>
      <c r="F69" s="845"/>
      <c r="G69" s="845"/>
      <c r="H69" s="845"/>
      <c r="I69" s="845"/>
      <c r="J69" s="845"/>
      <c r="K69" s="476"/>
    </row>
    <row r="70" spans="1:11" ht="24.75" customHeight="1">
      <c r="B70" s="418"/>
      <c r="C70" s="418"/>
      <c r="D70" s="418"/>
      <c r="E70" s="418"/>
      <c r="F70" s="418"/>
      <c r="G70" s="418"/>
      <c r="H70" s="352"/>
      <c r="I70" s="418"/>
      <c r="J70" s="352"/>
      <c r="K70" s="476"/>
    </row>
    <row r="71" spans="1:11" s="477" customFormat="1" ht="16.5">
      <c r="A71" s="543"/>
      <c r="B71" s="550" t="s">
        <v>318</v>
      </c>
      <c r="C71" s="830" t="str">
        <f>'Sch-1'!C73:D73</f>
        <v xml:space="preserve">  </v>
      </c>
      <c r="D71" s="827"/>
      <c r="E71" s="543"/>
      <c r="F71" s="543"/>
      <c r="G71" s="841" t="s">
        <v>320</v>
      </c>
      <c r="H71" s="841"/>
      <c r="I71" s="829" t="str">
        <f>'Sch-1'!K73</f>
        <v/>
      </c>
      <c r="J71" s="829"/>
    </row>
    <row r="72" spans="1:11" s="477" customFormat="1" ht="16.5">
      <c r="A72" s="543"/>
      <c r="B72" s="550" t="s">
        <v>319</v>
      </c>
      <c r="C72" s="827" t="str">
        <f>'Sch-1'!C74:D74</f>
        <v/>
      </c>
      <c r="D72" s="827"/>
      <c r="E72" s="543"/>
      <c r="F72" s="543"/>
      <c r="G72" s="841" t="s">
        <v>125</v>
      </c>
      <c r="H72" s="841"/>
      <c r="I72" s="829" t="str">
        <f>'Sch-1'!K74</f>
        <v/>
      </c>
      <c r="J72" s="829"/>
    </row>
    <row r="73" spans="1:11" ht="16.5">
      <c r="B73" s="551"/>
      <c r="C73" s="552"/>
      <c r="D73" s="352"/>
      <c r="E73" s="553"/>
      <c r="F73" s="554"/>
      <c r="G73" s="352"/>
      <c r="H73" s="545"/>
      <c r="I73" s="555"/>
      <c r="J73" s="545"/>
      <c r="K73" s="476"/>
    </row>
    <row r="74" spans="1:11" ht="16.5">
      <c r="B74" s="556"/>
      <c r="C74" s="557"/>
      <c r="D74" s="556"/>
      <c r="E74" s="553"/>
      <c r="F74" s="554"/>
      <c r="G74" s="556"/>
      <c r="H74" s="545"/>
      <c r="I74" s="555"/>
      <c r="J74" s="545"/>
      <c r="K74" s="476"/>
    </row>
  </sheetData>
  <sheetProtection algorithmName="SHA-512" hashValue="+pD3hziYHdVE51VFb2JyEnnUPxOJVbpSiqhbP8FCzNPjJaezZpfNL8Pn0YYSjzz2Y1oSiZysXdS7G9RkGcDurQ==" saltValue="KUB/xoMNufHJLJCbRQnHjA==" spinCount="100000" sheet="1" formatColumns="0" formatRows="0" selectLockedCells="1"/>
  <customSheetViews>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2"/>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CCA37BAE-906F-43D5-9FD9-B13563E4B9D7}" scale="80" showPageBreaks="1" printArea="1" view="pageBreakPreview" topLeftCell="A166">
      <selection activeCell="A180" sqref="A180"/>
      <pageMargins left="0.45" right="0.45" top="0.75" bottom="0.5" header="0.3" footer="0.3"/>
      <printOptions horizontalCentered="1"/>
      <pageSetup paperSize="9" scale="62" orientation="landscape" r:id="rId4"/>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10"/>
      <headerFooter>
        <oddHeader>&amp;RSchedule-2
Page &amp;P of &amp;N</oddHeader>
      </headerFooter>
    </customSheetView>
  </customSheetViews>
  <mergeCells count="20">
    <mergeCell ref="N3:O3"/>
    <mergeCell ref="A4:J4"/>
    <mergeCell ref="A3:J3"/>
    <mergeCell ref="C72:D72"/>
    <mergeCell ref="B68:D68"/>
    <mergeCell ref="B69:J69"/>
    <mergeCell ref="C71:D71"/>
    <mergeCell ref="I71:J71"/>
    <mergeCell ref="A6:B6"/>
    <mergeCell ref="I14:J14"/>
    <mergeCell ref="A7:F7"/>
    <mergeCell ref="A8:G8"/>
    <mergeCell ref="C10:E10"/>
    <mergeCell ref="C9:E9"/>
    <mergeCell ref="C12:E12"/>
    <mergeCell ref="C11:E11"/>
    <mergeCell ref="A13:J13"/>
    <mergeCell ref="G72:H72"/>
    <mergeCell ref="G71:H71"/>
    <mergeCell ref="I72:J72"/>
  </mergeCells>
  <dataValidations count="2">
    <dataValidation type="decimal" operator="greaterThan" allowBlank="1" showInputMessage="1" showErrorMessage="1" error="Enter only Numeric value greater than zero or leave the cell blank !" sqref="I64651:I64652" xr:uid="{00000000-0002-0000-0500-000000000000}">
      <formula1>0</formula1>
    </dataValidation>
    <dataValidation type="decimal" operator="greaterThanOrEqual" allowBlank="1" showInputMessage="1" showErrorMessage="1" sqref="I18:I67" xr:uid="{00000000-0002-0000-0500-000001000000}">
      <formula1>0</formula1>
    </dataValidation>
  </dataValidations>
  <printOptions horizontalCentered="1"/>
  <pageMargins left="0.45" right="0.45" top="0.75" bottom="0.5" header="0.3" footer="0.3"/>
  <pageSetup paperSize="9" scale="62" orientation="landscape" r:id="rId11"/>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97"/>
  <sheetViews>
    <sheetView view="pageBreakPreview" topLeftCell="E74" zoomScale="98" zoomScaleNormal="80" zoomScaleSheetLayoutView="98" workbookViewId="0">
      <selection activeCell="O78" sqref="O78"/>
    </sheetView>
  </sheetViews>
  <sheetFormatPr defaultColWidth="9.1406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3" customWidth="1"/>
    <col min="7" max="7" width="19.85546875" style="413" bestFit="1" customWidth="1"/>
    <col min="8" max="8" width="13.85546875" style="413" customWidth="1"/>
    <col min="9" max="9" width="20.42578125" style="413" customWidth="1"/>
    <col min="10" max="10" width="13.85546875" style="413" customWidth="1"/>
    <col min="11" max="11" width="21.42578125" style="413" customWidth="1"/>
    <col min="12" max="12" width="68.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26.85546875" style="8" hidden="1" customWidth="1"/>
    <col min="20" max="20" width="16.42578125" style="451" hidden="1" customWidth="1"/>
    <col min="21" max="21" width="16.85546875" style="8" hidden="1" customWidth="1"/>
    <col min="22" max="22" width="18.140625" style="7" hidden="1" customWidth="1"/>
    <col min="23"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9.140625" style="8"/>
  </cols>
  <sheetData>
    <row r="1" spans="1:31" ht="24.75" customHeight="1">
      <c r="A1" s="18" t="str">
        <f>Cover!B3</f>
        <v xml:space="preserve">5002002027/GIS-EXCLUDING/DOM/A04-CC CS-5   </v>
      </c>
      <c r="B1" s="18"/>
      <c r="C1" s="18"/>
      <c r="D1" s="18"/>
      <c r="E1" s="18"/>
      <c r="F1" s="411"/>
      <c r="G1" s="411"/>
      <c r="H1" s="411"/>
      <c r="I1" s="411"/>
      <c r="J1" s="411"/>
      <c r="K1" s="411"/>
      <c r="L1" s="392"/>
      <c r="M1" s="6"/>
      <c r="N1" s="6"/>
      <c r="O1" s="1"/>
      <c r="P1" s="2" t="s">
        <v>17</v>
      </c>
    </row>
    <row r="2" spans="1:31">
      <c r="A2" s="19"/>
      <c r="B2" s="19"/>
      <c r="C2" s="19"/>
      <c r="D2" s="19"/>
      <c r="E2" s="19"/>
      <c r="F2" s="412"/>
      <c r="G2" s="412"/>
      <c r="H2" s="412"/>
      <c r="I2" s="412"/>
      <c r="J2" s="412"/>
      <c r="K2" s="412"/>
      <c r="L2" s="386"/>
      <c r="M2" s="4"/>
      <c r="N2" s="4"/>
      <c r="O2" s="3"/>
      <c r="P2" s="3"/>
    </row>
    <row r="3" spans="1:31" ht="80.25" customHeight="1">
      <c r="A3" s="831" t="str">
        <f>Cover!$B$2</f>
        <v xml:space="preserve">GIS Substation Package SS02 for extension of 400/220kV Kurukshetra GIS Substation associated with Augmentation of transformation capacity at 400/220kV Kurukshetra S/S &amp; Patiala S/S
</v>
      </c>
      <c r="B3" s="831"/>
      <c r="C3" s="831"/>
      <c r="D3" s="831"/>
      <c r="E3" s="831"/>
      <c r="F3" s="831"/>
      <c r="G3" s="831"/>
      <c r="H3" s="831"/>
      <c r="I3" s="831"/>
      <c r="J3" s="831"/>
      <c r="K3" s="831"/>
      <c r="L3" s="831"/>
      <c r="M3" s="831"/>
      <c r="N3" s="831"/>
      <c r="O3" s="831"/>
      <c r="P3" s="831"/>
    </row>
    <row r="4" spans="1:31" ht="16.5">
      <c r="A4" s="832" t="s">
        <v>19</v>
      </c>
      <c r="B4" s="832"/>
      <c r="C4" s="832"/>
      <c r="D4" s="832"/>
      <c r="E4" s="832"/>
      <c r="F4" s="832"/>
      <c r="G4" s="832"/>
      <c r="H4" s="832"/>
      <c r="I4" s="832"/>
      <c r="J4" s="832"/>
      <c r="K4" s="832"/>
      <c r="L4" s="832"/>
      <c r="M4" s="832"/>
      <c r="N4" s="832"/>
      <c r="O4" s="832"/>
      <c r="P4" s="832"/>
    </row>
    <row r="6" spans="1:31" ht="21.75" customHeight="1">
      <c r="A6" s="833" t="s">
        <v>353</v>
      </c>
      <c r="B6" s="833"/>
      <c r="C6" s="4"/>
      <c r="D6" s="352"/>
      <c r="E6" s="4"/>
      <c r="F6" s="4"/>
      <c r="G6" s="4"/>
      <c r="H6" s="4"/>
      <c r="I6" s="4"/>
    </row>
    <row r="7" spans="1:31" ht="21" customHeight="1">
      <c r="A7" s="838">
        <f>'Sch-1'!A7</f>
        <v>0</v>
      </c>
      <c r="B7" s="838"/>
      <c r="C7" s="838"/>
      <c r="D7" s="838"/>
      <c r="E7" s="838"/>
      <c r="F7" s="838"/>
      <c r="G7" s="838"/>
      <c r="H7" s="838"/>
      <c r="I7" s="838"/>
      <c r="J7" s="414"/>
      <c r="K7" s="414"/>
      <c r="L7" s="393"/>
      <c r="M7" s="11" t="s">
        <v>1</v>
      </c>
      <c r="N7" s="461"/>
      <c r="O7" s="8"/>
      <c r="P7" s="3"/>
    </row>
    <row r="8" spans="1:31" ht="22.5" customHeight="1">
      <c r="A8" s="834" t="str">
        <f>"Bidder’s Name and Address  (" &amp; MID('Names of Bidder'!B9,9, 20) &amp; ") :"</f>
        <v>Bidder’s Name and Address  (Sole Bidder) :</v>
      </c>
      <c r="B8" s="834"/>
      <c r="C8" s="834"/>
      <c r="D8" s="834"/>
      <c r="E8" s="834"/>
      <c r="F8" s="834"/>
      <c r="G8" s="834"/>
      <c r="H8" s="549"/>
      <c r="I8" s="549"/>
      <c r="J8" s="518"/>
      <c r="K8" s="518"/>
      <c r="L8" s="518"/>
      <c r="M8" s="12" t="str">
        <f>'Sch-1'!K8</f>
        <v>Contract Services</v>
      </c>
      <c r="N8" s="518"/>
      <c r="O8" s="8"/>
      <c r="P8" s="3"/>
    </row>
    <row r="9" spans="1:31" ht="24.75" customHeight="1">
      <c r="A9" s="462" t="s">
        <v>12</v>
      </c>
      <c r="B9" s="408"/>
      <c r="C9" s="837" t="str">
        <f>IF('Names of Bidder'!D9=0, "", 'Names of Bidder'!D9)</f>
        <v/>
      </c>
      <c r="D9" s="837"/>
      <c r="E9" s="837"/>
      <c r="F9" s="837"/>
      <c r="G9" s="837"/>
      <c r="H9" s="445"/>
      <c r="I9" s="409"/>
      <c r="J9" s="394"/>
      <c r="K9" s="394"/>
      <c r="L9" s="394"/>
      <c r="M9" s="12" t="str">
        <f>'Sch-1'!K9</f>
        <v>Power Grid Corporation of India Ltd.,</v>
      </c>
      <c r="N9" s="451"/>
      <c r="O9" s="8"/>
      <c r="P9" s="3"/>
    </row>
    <row r="10" spans="1:31" ht="21" customHeight="1">
      <c r="A10" s="462" t="s">
        <v>11</v>
      </c>
      <c r="B10" s="408"/>
      <c r="C10" s="836" t="str">
        <f>IF('Names of Bidder'!D10=0, "", 'Names of Bidder'!D10)</f>
        <v/>
      </c>
      <c r="D10" s="836"/>
      <c r="E10" s="836"/>
      <c r="F10" s="836"/>
      <c r="G10" s="836"/>
      <c r="H10" s="445"/>
      <c r="I10" s="409"/>
      <c r="J10" s="394"/>
      <c r="K10" s="394"/>
      <c r="L10" s="394"/>
      <c r="M10" s="12" t="str">
        <f>'Sch-1'!K10</f>
        <v>"Saudamini", Plot No.-2</v>
      </c>
      <c r="N10" s="451"/>
      <c r="O10" s="8"/>
      <c r="P10" s="3"/>
    </row>
    <row r="11" spans="1:31" ht="20.25" customHeight="1">
      <c r="A11" s="409"/>
      <c r="B11" s="409"/>
      <c r="C11" s="836" t="str">
        <f>IF('Names of Bidder'!D11=0, "", 'Names of Bidder'!D11)</f>
        <v/>
      </c>
      <c r="D11" s="836"/>
      <c r="E11" s="836"/>
      <c r="F11" s="836"/>
      <c r="G11" s="836"/>
      <c r="H11" s="445"/>
      <c r="I11" s="409"/>
      <c r="J11" s="394"/>
      <c r="K11" s="394"/>
      <c r="L11" s="394"/>
      <c r="M11" s="12" t="str">
        <f>'Sch-1'!K11</f>
        <v xml:space="preserve">Sector-29, </v>
      </c>
      <c r="N11" s="451"/>
      <c r="O11" s="8"/>
      <c r="P11" s="3"/>
    </row>
    <row r="12" spans="1:31" ht="21" customHeight="1">
      <c r="A12" s="409"/>
      <c r="B12" s="409"/>
      <c r="C12" s="836" t="str">
        <f>IF('Names of Bidder'!D12=0, "", 'Names of Bidder'!D12)</f>
        <v/>
      </c>
      <c r="D12" s="836"/>
      <c r="E12" s="836"/>
      <c r="F12" s="836"/>
      <c r="G12" s="836"/>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c r="A14" s="847" t="s">
        <v>21</v>
      </c>
      <c r="B14" s="847"/>
      <c r="C14" s="847"/>
      <c r="D14" s="847"/>
      <c r="E14" s="847"/>
      <c r="F14" s="847"/>
      <c r="G14" s="847"/>
      <c r="H14" s="847"/>
      <c r="I14" s="847"/>
      <c r="J14" s="847"/>
      <c r="K14" s="847"/>
      <c r="L14" s="847"/>
      <c r="M14" s="847"/>
      <c r="N14" s="847"/>
      <c r="O14" s="847"/>
      <c r="P14" s="847"/>
    </row>
    <row r="15" spans="1:31" s="434" customFormat="1" ht="125.25" customHeight="1">
      <c r="A15" s="482" t="s">
        <v>7</v>
      </c>
      <c r="B15" s="483" t="s">
        <v>267</v>
      </c>
      <c r="C15" s="483" t="s">
        <v>279</v>
      </c>
      <c r="D15" s="483" t="s">
        <v>278</v>
      </c>
      <c r="E15" s="483" t="s">
        <v>280</v>
      </c>
      <c r="F15" s="483" t="s">
        <v>281</v>
      </c>
      <c r="G15" s="482" t="s">
        <v>25</v>
      </c>
      <c r="H15" s="484" t="s">
        <v>322</v>
      </c>
      <c r="I15" s="485" t="s">
        <v>536</v>
      </c>
      <c r="J15" s="485" t="s">
        <v>313</v>
      </c>
      <c r="K15" s="485" t="s">
        <v>537</v>
      </c>
      <c r="L15" s="486" t="s">
        <v>15</v>
      </c>
      <c r="M15" s="487" t="s">
        <v>9</v>
      </c>
      <c r="N15" s="487" t="s">
        <v>16</v>
      </c>
      <c r="O15" s="486" t="s">
        <v>23</v>
      </c>
      <c r="P15" s="486" t="s">
        <v>24</v>
      </c>
      <c r="Q15" s="433"/>
      <c r="R15" s="643" t="s">
        <v>348</v>
      </c>
      <c r="S15" s="646" t="s">
        <v>349</v>
      </c>
      <c r="T15" s="643" t="s">
        <v>346</v>
      </c>
      <c r="U15" s="643" t="s">
        <v>347</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4">
        <v>8</v>
      </c>
      <c r="I16" s="484">
        <v>9</v>
      </c>
      <c r="J16" s="484">
        <v>10</v>
      </c>
      <c r="K16" s="484">
        <v>11</v>
      </c>
      <c r="L16" s="391">
        <v>12</v>
      </c>
      <c r="M16" s="16">
        <v>13</v>
      </c>
      <c r="N16" s="16">
        <v>14</v>
      </c>
      <c r="O16" s="16">
        <v>15</v>
      </c>
      <c r="P16" s="16" t="s">
        <v>323</v>
      </c>
      <c r="Q16" s="433"/>
      <c r="V16" s="433"/>
      <c r="W16" s="433"/>
      <c r="X16" s="433"/>
      <c r="Y16" s="433"/>
      <c r="Z16" s="433"/>
      <c r="AA16" s="433"/>
      <c r="AB16" s="433"/>
      <c r="AC16" s="433"/>
      <c r="AD16" s="433"/>
      <c r="AE16" s="433"/>
    </row>
    <row r="17" spans="1:31" s="767" customFormat="1" ht="18.75">
      <c r="A17" s="763"/>
      <c r="B17" s="770" t="s">
        <v>594</v>
      </c>
      <c r="C17" s="763"/>
      <c r="D17" s="763"/>
      <c r="E17" s="763"/>
      <c r="F17" s="764"/>
      <c r="G17" s="764"/>
      <c r="H17" s="765"/>
      <c r="I17" s="765"/>
      <c r="J17" s="765"/>
      <c r="K17" s="765"/>
      <c r="L17" s="764"/>
      <c r="M17" s="763"/>
      <c r="N17" s="763"/>
      <c r="O17" s="763"/>
      <c r="P17" s="763"/>
      <c r="Q17" s="766"/>
      <c r="V17" s="766"/>
      <c r="W17" s="766"/>
      <c r="X17" s="766"/>
      <c r="Y17" s="766"/>
      <c r="Z17" s="766"/>
      <c r="AA17" s="766"/>
      <c r="AB17" s="766"/>
      <c r="AC17" s="766"/>
      <c r="AD17" s="766"/>
      <c r="AE17" s="766"/>
    </row>
    <row r="18" spans="1:31" ht="47.25">
      <c r="A18" s="746">
        <v>1</v>
      </c>
      <c r="B18" s="561">
        <v>7000016118</v>
      </c>
      <c r="C18" s="561">
        <v>320</v>
      </c>
      <c r="D18" s="561">
        <v>130</v>
      </c>
      <c r="E18" s="561">
        <v>30</v>
      </c>
      <c r="F18" s="561" t="s">
        <v>595</v>
      </c>
      <c r="G18" s="561">
        <v>100000268</v>
      </c>
      <c r="H18" s="561">
        <v>998736</v>
      </c>
      <c r="I18" s="562"/>
      <c r="J18" s="561">
        <v>18</v>
      </c>
      <c r="K18" s="560"/>
      <c r="L18" s="559" t="s">
        <v>567</v>
      </c>
      <c r="M18" s="561" t="s">
        <v>301</v>
      </c>
      <c r="N18" s="561">
        <v>2</v>
      </c>
      <c r="O18" s="547"/>
      <c r="P18" s="558" t="str">
        <f t="shared" ref="P18" si="0">IF(O18=0, "INCLUDED", IF(ISERROR(N18*O18), O18, N18*O18))</f>
        <v>INCLUDED</v>
      </c>
      <c r="Q18" s="516">
        <f t="shared" ref="Q18" si="1">IF(P18="Included",0,P18)</f>
        <v>0</v>
      </c>
      <c r="R18" s="452">
        <f>IF( K18="",J18*(IF(P18="Included",0,P18))/100,K18*(IF(P18="Included",0,P18)))</f>
        <v>0</v>
      </c>
      <c r="S18" s="642">
        <f>Discount!$J$36</f>
        <v>0</v>
      </c>
      <c r="T18" s="452">
        <f>S18*Q18</f>
        <v>0</v>
      </c>
      <c r="U18" s="453">
        <f>IF(K18="",J18*T18/100,K18*T18)</f>
        <v>0</v>
      </c>
      <c r="V18" s="769">
        <f>O18*N18</f>
        <v>0</v>
      </c>
      <c r="W18" s="264"/>
      <c r="X18" s="264"/>
      <c r="Y18" s="264"/>
      <c r="Z18" s="264"/>
      <c r="AA18" s="264"/>
    </row>
    <row r="19" spans="1:31" ht="47.25">
      <c r="A19" s="746">
        <v>2</v>
      </c>
      <c r="B19" s="561">
        <v>7000016118</v>
      </c>
      <c r="C19" s="561">
        <v>320</v>
      </c>
      <c r="D19" s="561">
        <v>130</v>
      </c>
      <c r="E19" s="561">
        <v>130</v>
      </c>
      <c r="F19" s="561" t="s">
        <v>595</v>
      </c>
      <c r="G19" s="561">
        <v>100003559</v>
      </c>
      <c r="H19" s="561">
        <v>998736</v>
      </c>
      <c r="I19" s="562"/>
      <c r="J19" s="561">
        <v>18</v>
      </c>
      <c r="K19" s="560"/>
      <c r="L19" s="559" t="s">
        <v>608</v>
      </c>
      <c r="M19" s="561" t="s">
        <v>302</v>
      </c>
      <c r="N19" s="561">
        <v>2</v>
      </c>
      <c r="O19" s="547"/>
      <c r="P19" s="558" t="str">
        <f t="shared" ref="P19:P86" si="2">IF(O19=0, "INCLUDED", IF(ISERROR(N19*O19), O19, N19*O19))</f>
        <v>INCLUDED</v>
      </c>
      <c r="Q19" s="516">
        <f t="shared" ref="Q19:Q86" si="3">IF(P19="Included",0,P19)</f>
        <v>0</v>
      </c>
      <c r="R19" s="452">
        <f t="shared" ref="R19:R36" si="4">IF( K19="",J19*(IF(P19="Included",0,P19))/100,K19*(IF(P19="Included",0,P19)))</f>
        <v>0</v>
      </c>
      <c r="S19" s="642">
        <f>Discount!$J$36</f>
        <v>0</v>
      </c>
      <c r="T19" s="452">
        <f t="shared" ref="T19:T36" si="5">S19*Q19</f>
        <v>0</v>
      </c>
      <c r="U19" s="453">
        <f t="shared" ref="U19:U82" si="6">IF(K19="",J19*T19/100,K19*T19)</f>
        <v>0</v>
      </c>
      <c r="V19" s="769">
        <f t="shared" ref="V19:V82" si="7">O19*N19</f>
        <v>0</v>
      </c>
      <c r="W19" s="264"/>
      <c r="X19" s="264"/>
      <c r="Y19" s="264"/>
      <c r="Z19" s="264"/>
      <c r="AA19" s="264"/>
    </row>
    <row r="20" spans="1:31" ht="47.25">
      <c r="A20" s="746">
        <v>3</v>
      </c>
      <c r="B20" s="561">
        <v>7000016118</v>
      </c>
      <c r="C20" s="561">
        <v>320</v>
      </c>
      <c r="D20" s="561">
        <v>130</v>
      </c>
      <c r="E20" s="561">
        <v>31</v>
      </c>
      <c r="F20" s="561" t="s">
        <v>595</v>
      </c>
      <c r="G20" s="561">
        <v>100000195</v>
      </c>
      <c r="H20" s="561">
        <v>998736</v>
      </c>
      <c r="I20" s="562"/>
      <c r="J20" s="561">
        <v>18</v>
      </c>
      <c r="K20" s="560"/>
      <c r="L20" s="559" t="s">
        <v>609</v>
      </c>
      <c r="M20" s="561" t="s">
        <v>302</v>
      </c>
      <c r="N20" s="561">
        <v>1</v>
      </c>
      <c r="O20" s="547"/>
      <c r="P20" s="558" t="str">
        <f t="shared" si="2"/>
        <v>INCLUDED</v>
      </c>
      <c r="Q20" s="516">
        <f t="shared" si="3"/>
        <v>0</v>
      </c>
      <c r="R20" s="452">
        <f t="shared" si="4"/>
        <v>0</v>
      </c>
      <c r="S20" s="642">
        <f>Discount!$J$36</f>
        <v>0</v>
      </c>
      <c r="T20" s="452">
        <f t="shared" si="5"/>
        <v>0</v>
      </c>
      <c r="U20" s="453">
        <f t="shared" si="6"/>
        <v>0</v>
      </c>
      <c r="V20" s="769">
        <f t="shared" si="7"/>
        <v>0</v>
      </c>
      <c r="W20" s="264"/>
      <c r="X20" s="264"/>
      <c r="Y20" s="264"/>
      <c r="Z20" s="264"/>
      <c r="AA20" s="264"/>
    </row>
    <row r="21" spans="1:31" ht="47.25">
      <c r="A21" s="746">
        <v>4</v>
      </c>
      <c r="B21" s="561">
        <v>7000016118</v>
      </c>
      <c r="C21" s="561">
        <v>320</v>
      </c>
      <c r="D21" s="561">
        <v>130</v>
      </c>
      <c r="E21" s="561">
        <v>32</v>
      </c>
      <c r="F21" s="561" t="s">
        <v>595</v>
      </c>
      <c r="G21" s="561">
        <v>100002128</v>
      </c>
      <c r="H21" s="561">
        <v>998736</v>
      </c>
      <c r="I21" s="562"/>
      <c r="J21" s="561">
        <v>18</v>
      </c>
      <c r="K21" s="560"/>
      <c r="L21" s="559" t="s">
        <v>610</v>
      </c>
      <c r="M21" s="561" t="s">
        <v>302</v>
      </c>
      <c r="N21" s="561">
        <v>1</v>
      </c>
      <c r="O21" s="547"/>
      <c r="P21" s="558" t="str">
        <f t="shared" si="2"/>
        <v>INCLUDED</v>
      </c>
      <c r="Q21" s="516">
        <f t="shared" si="3"/>
        <v>0</v>
      </c>
      <c r="R21" s="452">
        <f t="shared" si="4"/>
        <v>0</v>
      </c>
      <c r="S21" s="642">
        <f>Discount!$J$36</f>
        <v>0</v>
      </c>
      <c r="T21" s="452">
        <f t="shared" si="5"/>
        <v>0</v>
      </c>
      <c r="U21" s="453">
        <f t="shared" si="6"/>
        <v>0</v>
      </c>
      <c r="V21" s="769">
        <f t="shared" si="7"/>
        <v>0</v>
      </c>
      <c r="W21" s="264"/>
      <c r="X21" s="264"/>
      <c r="Y21" s="264"/>
      <c r="Z21" s="264"/>
      <c r="AA21" s="264"/>
    </row>
    <row r="22" spans="1:31" ht="47.25">
      <c r="A22" s="746">
        <v>5</v>
      </c>
      <c r="B22" s="561">
        <v>7000016118</v>
      </c>
      <c r="C22" s="561">
        <v>320</v>
      </c>
      <c r="D22" s="561">
        <v>130</v>
      </c>
      <c r="E22" s="561">
        <v>140</v>
      </c>
      <c r="F22" s="561" t="s">
        <v>595</v>
      </c>
      <c r="G22" s="561">
        <v>100003116</v>
      </c>
      <c r="H22" s="561">
        <v>998736</v>
      </c>
      <c r="I22" s="562"/>
      <c r="J22" s="561">
        <v>18</v>
      </c>
      <c r="K22" s="560"/>
      <c r="L22" s="559" t="s">
        <v>611</v>
      </c>
      <c r="M22" s="561" t="s">
        <v>301</v>
      </c>
      <c r="N22" s="561">
        <v>3</v>
      </c>
      <c r="O22" s="547"/>
      <c r="P22" s="558" t="str">
        <f t="shared" si="2"/>
        <v>INCLUDED</v>
      </c>
      <c r="Q22" s="516">
        <f t="shared" si="3"/>
        <v>0</v>
      </c>
      <c r="R22" s="452">
        <f t="shared" si="4"/>
        <v>0</v>
      </c>
      <c r="S22" s="642">
        <f>Discount!$J$36</f>
        <v>0</v>
      </c>
      <c r="T22" s="452">
        <f t="shared" si="5"/>
        <v>0</v>
      </c>
      <c r="U22" s="453">
        <f t="shared" si="6"/>
        <v>0</v>
      </c>
      <c r="V22" s="769">
        <f t="shared" si="7"/>
        <v>0</v>
      </c>
      <c r="W22" s="264"/>
      <c r="X22" s="264"/>
      <c r="Y22" s="264"/>
      <c r="Z22" s="264"/>
      <c r="AA22" s="264"/>
    </row>
    <row r="23" spans="1:31" ht="47.25">
      <c r="A23" s="746">
        <v>6</v>
      </c>
      <c r="B23" s="561">
        <v>7000016118</v>
      </c>
      <c r="C23" s="561">
        <v>320</v>
      </c>
      <c r="D23" s="561">
        <v>130</v>
      </c>
      <c r="E23" s="561">
        <v>150</v>
      </c>
      <c r="F23" s="561" t="s">
        <v>595</v>
      </c>
      <c r="G23" s="561">
        <v>100000257</v>
      </c>
      <c r="H23" s="561">
        <v>998736</v>
      </c>
      <c r="I23" s="562"/>
      <c r="J23" s="561">
        <v>18</v>
      </c>
      <c r="K23" s="560"/>
      <c r="L23" s="559" t="s">
        <v>612</v>
      </c>
      <c r="M23" s="561" t="s">
        <v>478</v>
      </c>
      <c r="N23" s="561">
        <v>1500</v>
      </c>
      <c r="O23" s="547"/>
      <c r="P23" s="558" t="str">
        <f t="shared" si="2"/>
        <v>INCLUDED</v>
      </c>
      <c r="Q23" s="516">
        <f t="shared" si="3"/>
        <v>0</v>
      </c>
      <c r="R23" s="452">
        <f t="shared" si="4"/>
        <v>0</v>
      </c>
      <c r="S23" s="642">
        <f>Discount!$J$36</f>
        <v>0</v>
      </c>
      <c r="T23" s="452">
        <f t="shared" si="5"/>
        <v>0</v>
      </c>
      <c r="U23" s="453">
        <f t="shared" si="6"/>
        <v>0</v>
      </c>
      <c r="V23" s="769">
        <f t="shared" si="7"/>
        <v>0</v>
      </c>
      <c r="W23" s="264"/>
      <c r="X23" s="264"/>
      <c r="Y23" s="264"/>
      <c r="Z23" s="264"/>
      <c r="AA23" s="264"/>
    </row>
    <row r="24" spans="1:31" ht="47.25">
      <c r="A24" s="746">
        <v>7</v>
      </c>
      <c r="B24" s="561">
        <v>7000016118</v>
      </c>
      <c r="C24" s="561">
        <v>330</v>
      </c>
      <c r="D24" s="561">
        <v>140</v>
      </c>
      <c r="E24" s="561">
        <v>20</v>
      </c>
      <c r="F24" s="561" t="s">
        <v>596</v>
      </c>
      <c r="G24" s="561">
        <v>100000340</v>
      </c>
      <c r="H24" s="561">
        <v>998736</v>
      </c>
      <c r="I24" s="562"/>
      <c r="J24" s="561">
        <v>18</v>
      </c>
      <c r="K24" s="560"/>
      <c r="L24" s="559" t="s">
        <v>613</v>
      </c>
      <c r="M24" s="561" t="s">
        <v>301</v>
      </c>
      <c r="N24" s="561">
        <v>3</v>
      </c>
      <c r="O24" s="547"/>
      <c r="P24" s="558" t="str">
        <f t="shared" si="2"/>
        <v>INCLUDED</v>
      </c>
      <c r="Q24" s="516">
        <f t="shared" si="3"/>
        <v>0</v>
      </c>
      <c r="R24" s="452">
        <f t="shared" si="4"/>
        <v>0</v>
      </c>
      <c r="S24" s="642">
        <f>Discount!$J$36</f>
        <v>0</v>
      </c>
      <c r="T24" s="452">
        <f t="shared" si="5"/>
        <v>0</v>
      </c>
      <c r="U24" s="453">
        <f t="shared" si="6"/>
        <v>0</v>
      </c>
      <c r="V24" s="769">
        <f t="shared" si="7"/>
        <v>0</v>
      </c>
      <c r="W24" s="264"/>
      <c r="X24" s="264"/>
      <c r="Y24" s="264"/>
      <c r="Z24" s="264"/>
      <c r="AA24" s="264"/>
    </row>
    <row r="25" spans="1:31" ht="47.25">
      <c r="A25" s="746">
        <v>8</v>
      </c>
      <c r="B25" s="561">
        <v>7000016118</v>
      </c>
      <c r="C25" s="561">
        <v>330</v>
      </c>
      <c r="D25" s="561">
        <v>140</v>
      </c>
      <c r="E25" s="561">
        <v>30</v>
      </c>
      <c r="F25" s="561" t="s">
        <v>596</v>
      </c>
      <c r="G25" s="561">
        <v>100001903</v>
      </c>
      <c r="H25" s="561">
        <v>998736</v>
      </c>
      <c r="I25" s="562"/>
      <c r="J25" s="561">
        <v>18</v>
      </c>
      <c r="K25" s="560"/>
      <c r="L25" s="559" t="s">
        <v>573</v>
      </c>
      <c r="M25" s="561" t="s">
        <v>301</v>
      </c>
      <c r="N25" s="561">
        <v>3</v>
      </c>
      <c r="O25" s="547"/>
      <c r="P25" s="558" t="str">
        <f t="shared" si="2"/>
        <v>INCLUDED</v>
      </c>
      <c r="Q25" s="516">
        <f t="shared" si="3"/>
        <v>0</v>
      </c>
      <c r="R25" s="452">
        <f t="shared" si="4"/>
        <v>0</v>
      </c>
      <c r="S25" s="642">
        <f>Discount!$J$36</f>
        <v>0</v>
      </c>
      <c r="T25" s="452">
        <f t="shared" si="5"/>
        <v>0</v>
      </c>
      <c r="U25" s="453">
        <f t="shared" si="6"/>
        <v>0</v>
      </c>
      <c r="V25" s="769">
        <f t="shared" si="7"/>
        <v>0</v>
      </c>
      <c r="W25" s="264"/>
      <c r="X25" s="264"/>
      <c r="Y25" s="264"/>
      <c r="Z25" s="264"/>
      <c r="AA25" s="264"/>
    </row>
    <row r="26" spans="1:31" ht="47.25">
      <c r="A26" s="746">
        <v>9</v>
      </c>
      <c r="B26" s="561">
        <v>7000016118</v>
      </c>
      <c r="C26" s="561">
        <v>340</v>
      </c>
      <c r="D26" s="561">
        <v>150</v>
      </c>
      <c r="E26" s="561">
        <v>20</v>
      </c>
      <c r="F26" s="561" t="s">
        <v>597</v>
      </c>
      <c r="G26" s="561">
        <v>100002188</v>
      </c>
      <c r="H26" s="561">
        <v>998731</v>
      </c>
      <c r="I26" s="562"/>
      <c r="J26" s="561">
        <v>18</v>
      </c>
      <c r="K26" s="560"/>
      <c r="L26" s="559" t="s">
        <v>614</v>
      </c>
      <c r="M26" s="561" t="s">
        <v>302</v>
      </c>
      <c r="N26" s="561">
        <v>1</v>
      </c>
      <c r="O26" s="547"/>
      <c r="P26" s="558" t="str">
        <f t="shared" si="2"/>
        <v>INCLUDED</v>
      </c>
      <c r="Q26" s="516">
        <f t="shared" si="3"/>
        <v>0</v>
      </c>
      <c r="R26" s="452">
        <f t="shared" si="4"/>
        <v>0</v>
      </c>
      <c r="S26" s="642">
        <f>Discount!$J$36</f>
        <v>0</v>
      </c>
      <c r="T26" s="452">
        <f t="shared" si="5"/>
        <v>0</v>
      </c>
      <c r="U26" s="453">
        <f t="shared" si="6"/>
        <v>0</v>
      </c>
      <c r="V26" s="769">
        <f t="shared" si="7"/>
        <v>0</v>
      </c>
      <c r="W26" s="264"/>
      <c r="X26" s="264"/>
      <c r="Y26" s="264"/>
      <c r="Z26" s="264"/>
      <c r="AA26" s="264"/>
    </row>
    <row r="27" spans="1:31" ht="47.25">
      <c r="A27" s="746">
        <v>10</v>
      </c>
      <c r="B27" s="561">
        <v>7000016118</v>
      </c>
      <c r="C27" s="561">
        <v>340</v>
      </c>
      <c r="D27" s="561">
        <v>150</v>
      </c>
      <c r="E27" s="561">
        <v>30</v>
      </c>
      <c r="F27" s="561" t="s">
        <v>597</v>
      </c>
      <c r="G27" s="561">
        <v>100003103</v>
      </c>
      <c r="H27" s="561">
        <v>998731</v>
      </c>
      <c r="I27" s="562"/>
      <c r="J27" s="561">
        <v>18</v>
      </c>
      <c r="K27" s="560"/>
      <c r="L27" s="559" t="s">
        <v>506</v>
      </c>
      <c r="M27" s="561" t="s">
        <v>303</v>
      </c>
      <c r="N27" s="561">
        <v>0.2</v>
      </c>
      <c r="O27" s="547"/>
      <c r="P27" s="558" t="str">
        <f t="shared" si="2"/>
        <v>INCLUDED</v>
      </c>
      <c r="Q27" s="516">
        <f t="shared" si="3"/>
        <v>0</v>
      </c>
      <c r="R27" s="452">
        <f t="shared" si="4"/>
        <v>0</v>
      </c>
      <c r="S27" s="642">
        <f>Discount!$J$36</f>
        <v>0</v>
      </c>
      <c r="T27" s="452">
        <f t="shared" si="5"/>
        <v>0</v>
      </c>
      <c r="U27" s="453">
        <f t="shared" si="6"/>
        <v>0</v>
      </c>
      <c r="V27" s="769">
        <f t="shared" si="7"/>
        <v>0</v>
      </c>
      <c r="W27" s="264"/>
      <c r="X27" s="264"/>
      <c r="Y27" s="264"/>
      <c r="Z27" s="264"/>
      <c r="AA27" s="264"/>
    </row>
    <row r="28" spans="1:31" ht="31.5">
      <c r="A28" s="746">
        <v>11</v>
      </c>
      <c r="B28" s="561">
        <v>7000016118</v>
      </c>
      <c r="C28" s="561">
        <v>350</v>
      </c>
      <c r="D28" s="561">
        <v>160</v>
      </c>
      <c r="E28" s="561">
        <v>10</v>
      </c>
      <c r="F28" s="561" t="s">
        <v>598</v>
      </c>
      <c r="G28" s="561">
        <v>100000796</v>
      </c>
      <c r="H28" s="561">
        <v>998736</v>
      </c>
      <c r="I28" s="562"/>
      <c r="J28" s="561">
        <v>18</v>
      </c>
      <c r="K28" s="560"/>
      <c r="L28" s="559" t="s">
        <v>615</v>
      </c>
      <c r="M28" s="561" t="s">
        <v>302</v>
      </c>
      <c r="N28" s="561">
        <v>1</v>
      </c>
      <c r="O28" s="547"/>
      <c r="P28" s="558" t="str">
        <f t="shared" si="2"/>
        <v>INCLUDED</v>
      </c>
      <c r="Q28" s="516">
        <f t="shared" si="3"/>
        <v>0</v>
      </c>
      <c r="R28" s="452">
        <f t="shared" si="4"/>
        <v>0</v>
      </c>
      <c r="S28" s="642">
        <f>Discount!$J$36</f>
        <v>0</v>
      </c>
      <c r="T28" s="452">
        <f t="shared" si="5"/>
        <v>0</v>
      </c>
      <c r="U28" s="453">
        <f t="shared" si="6"/>
        <v>0</v>
      </c>
      <c r="V28" s="769">
        <f t="shared" si="7"/>
        <v>0</v>
      </c>
      <c r="W28" s="264"/>
      <c r="X28" s="264"/>
      <c r="Y28" s="264"/>
      <c r="Z28" s="264"/>
      <c r="AA28" s="264"/>
    </row>
    <row r="29" spans="1:31" ht="31.5">
      <c r="A29" s="746">
        <v>12</v>
      </c>
      <c r="B29" s="561">
        <v>7000016118</v>
      </c>
      <c r="C29" s="561">
        <v>350</v>
      </c>
      <c r="D29" s="561">
        <v>160</v>
      </c>
      <c r="E29" s="561">
        <v>20</v>
      </c>
      <c r="F29" s="561" t="s">
        <v>598</v>
      </c>
      <c r="G29" s="561">
        <v>100000729</v>
      </c>
      <c r="H29" s="561">
        <v>998736</v>
      </c>
      <c r="I29" s="562"/>
      <c r="J29" s="561">
        <v>18</v>
      </c>
      <c r="K29" s="560"/>
      <c r="L29" s="559" t="s">
        <v>503</v>
      </c>
      <c r="M29" s="561" t="s">
        <v>301</v>
      </c>
      <c r="N29" s="561">
        <v>2</v>
      </c>
      <c r="O29" s="547"/>
      <c r="P29" s="558" t="str">
        <f t="shared" si="2"/>
        <v>INCLUDED</v>
      </c>
      <c r="Q29" s="516">
        <f t="shared" si="3"/>
        <v>0</v>
      </c>
      <c r="R29" s="452">
        <f t="shared" si="4"/>
        <v>0</v>
      </c>
      <c r="S29" s="642">
        <f>Discount!$J$36</f>
        <v>0</v>
      </c>
      <c r="T29" s="452">
        <f t="shared" si="5"/>
        <v>0</v>
      </c>
      <c r="U29" s="453">
        <f t="shared" si="6"/>
        <v>0</v>
      </c>
      <c r="V29" s="769">
        <f t="shared" si="7"/>
        <v>0</v>
      </c>
      <c r="W29" s="264"/>
      <c r="X29" s="264"/>
      <c r="Y29" s="264"/>
      <c r="Z29" s="264"/>
      <c r="AA29" s="264"/>
    </row>
    <row r="30" spans="1:31" ht="87" customHeight="1">
      <c r="A30" s="746">
        <v>13</v>
      </c>
      <c r="B30" s="561">
        <v>7000016118</v>
      </c>
      <c r="C30" s="561">
        <v>350</v>
      </c>
      <c r="D30" s="561">
        <v>160</v>
      </c>
      <c r="E30" s="561">
        <v>30</v>
      </c>
      <c r="F30" s="561" t="s">
        <v>598</v>
      </c>
      <c r="G30" s="561">
        <v>100000731</v>
      </c>
      <c r="H30" s="561">
        <v>998736</v>
      </c>
      <c r="I30" s="562"/>
      <c r="J30" s="561">
        <v>18</v>
      </c>
      <c r="K30" s="560"/>
      <c r="L30" s="559" t="s">
        <v>526</v>
      </c>
      <c r="M30" s="561" t="s">
        <v>301</v>
      </c>
      <c r="N30" s="561">
        <v>1</v>
      </c>
      <c r="O30" s="547"/>
      <c r="P30" s="558" t="str">
        <f t="shared" si="2"/>
        <v>INCLUDED</v>
      </c>
      <c r="Q30" s="516">
        <f t="shared" si="3"/>
        <v>0</v>
      </c>
      <c r="R30" s="452">
        <f t="shared" si="4"/>
        <v>0</v>
      </c>
      <c r="S30" s="642">
        <f>Discount!$J$36</f>
        <v>0</v>
      </c>
      <c r="T30" s="452">
        <f t="shared" si="5"/>
        <v>0</v>
      </c>
      <c r="U30" s="453">
        <f t="shared" si="6"/>
        <v>0</v>
      </c>
      <c r="V30" s="769">
        <f t="shared" si="7"/>
        <v>0</v>
      </c>
      <c r="W30" s="264"/>
      <c r="X30" s="264"/>
      <c r="Y30" s="264"/>
      <c r="Z30" s="264"/>
      <c r="AA30" s="264"/>
    </row>
    <row r="31" spans="1:31" ht="69.75" customHeight="1">
      <c r="A31" s="746">
        <v>14</v>
      </c>
      <c r="B31" s="561">
        <v>7000016118</v>
      </c>
      <c r="C31" s="561">
        <v>350</v>
      </c>
      <c r="D31" s="561">
        <v>160</v>
      </c>
      <c r="E31" s="561">
        <v>40</v>
      </c>
      <c r="F31" s="561" t="s">
        <v>598</v>
      </c>
      <c r="G31" s="561">
        <v>100000737</v>
      </c>
      <c r="H31" s="561">
        <v>998736</v>
      </c>
      <c r="I31" s="562"/>
      <c r="J31" s="561">
        <v>18</v>
      </c>
      <c r="K31" s="560"/>
      <c r="L31" s="559" t="s">
        <v>527</v>
      </c>
      <c r="M31" s="561" t="s">
        <v>301</v>
      </c>
      <c r="N31" s="561">
        <v>1</v>
      </c>
      <c r="O31" s="547"/>
      <c r="P31" s="558" t="str">
        <f t="shared" si="2"/>
        <v>INCLUDED</v>
      </c>
      <c r="Q31" s="516">
        <f t="shared" si="3"/>
        <v>0</v>
      </c>
      <c r="R31" s="452">
        <f t="shared" si="4"/>
        <v>0</v>
      </c>
      <c r="S31" s="642">
        <f>Discount!$J$36</f>
        <v>0</v>
      </c>
      <c r="T31" s="452">
        <f t="shared" si="5"/>
        <v>0</v>
      </c>
      <c r="U31" s="453">
        <f t="shared" si="6"/>
        <v>0</v>
      </c>
      <c r="V31" s="769">
        <f t="shared" si="7"/>
        <v>0</v>
      </c>
      <c r="W31" s="264"/>
      <c r="X31" s="264"/>
      <c r="Y31" s="264"/>
      <c r="Z31" s="264"/>
      <c r="AA31" s="264"/>
    </row>
    <row r="32" spans="1:31" ht="31.5">
      <c r="A32" s="746">
        <v>15</v>
      </c>
      <c r="B32" s="561">
        <v>7000016118</v>
      </c>
      <c r="C32" s="561">
        <v>350</v>
      </c>
      <c r="D32" s="561">
        <v>160</v>
      </c>
      <c r="E32" s="561">
        <v>50</v>
      </c>
      <c r="F32" s="561" t="s">
        <v>598</v>
      </c>
      <c r="G32" s="561">
        <v>100000743</v>
      </c>
      <c r="H32" s="561">
        <v>998736</v>
      </c>
      <c r="I32" s="562"/>
      <c r="J32" s="561">
        <v>18</v>
      </c>
      <c r="K32" s="560"/>
      <c r="L32" s="559" t="s">
        <v>546</v>
      </c>
      <c r="M32" s="561" t="s">
        <v>302</v>
      </c>
      <c r="N32" s="561">
        <v>1</v>
      </c>
      <c r="O32" s="547"/>
      <c r="P32" s="558" t="str">
        <f t="shared" si="2"/>
        <v>INCLUDED</v>
      </c>
      <c r="Q32" s="516">
        <f t="shared" si="3"/>
        <v>0</v>
      </c>
      <c r="R32" s="452">
        <f t="shared" si="4"/>
        <v>0</v>
      </c>
      <c r="S32" s="642">
        <f>Discount!$J$36</f>
        <v>0</v>
      </c>
      <c r="T32" s="452">
        <f t="shared" si="5"/>
        <v>0</v>
      </c>
      <c r="U32" s="453">
        <f t="shared" si="6"/>
        <v>0</v>
      </c>
      <c r="V32" s="769">
        <f t="shared" si="7"/>
        <v>0</v>
      </c>
      <c r="W32" s="264"/>
      <c r="X32" s="264"/>
      <c r="Y32" s="264"/>
      <c r="Z32" s="264"/>
      <c r="AA32" s="264"/>
    </row>
    <row r="33" spans="1:27" ht="31.5">
      <c r="A33" s="746">
        <v>16</v>
      </c>
      <c r="B33" s="561">
        <v>7000016118</v>
      </c>
      <c r="C33" s="561">
        <v>360</v>
      </c>
      <c r="D33" s="561">
        <v>170</v>
      </c>
      <c r="E33" s="561">
        <v>10</v>
      </c>
      <c r="F33" s="561" t="s">
        <v>599</v>
      </c>
      <c r="G33" s="561">
        <v>100002069</v>
      </c>
      <c r="H33" s="561">
        <v>998736</v>
      </c>
      <c r="I33" s="562"/>
      <c r="J33" s="561">
        <v>18</v>
      </c>
      <c r="K33" s="560"/>
      <c r="L33" s="559" t="s">
        <v>504</v>
      </c>
      <c r="M33" s="561" t="s">
        <v>301</v>
      </c>
      <c r="N33" s="561">
        <v>1</v>
      </c>
      <c r="O33" s="547"/>
      <c r="P33" s="558" t="str">
        <f t="shared" si="2"/>
        <v>INCLUDED</v>
      </c>
      <c r="Q33" s="516">
        <f t="shared" si="3"/>
        <v>0</v>
      </c>
      <c r="R33" s="452">
        <f t="shared" si="4"/>
        <v>0</v>
      </c>
      <c r="S33" s="642">
        <f>Discount!$J$36</f>
        <v>0</v>
      </c>
      <c r="T33" s="452">
        <f t="shared" si="5"/>
        <v>0</v>
      </c>
      <c r="U33" s="453">
        <f t="shared" si="6"/>
        <v>0</v>
      </c>
      <c r="V33" s="769">
        <f t="shared" si="7"/>
        <v>0</v>
      </c>
      <c r="W33" s="264"/>
      <c r="X33" s="264"/>
      <c r="Y33" s="264"/>
      <c r="Z33" s="264"/>
      <c r="AA33" s="264"/>
    </row>
    <row r="34" spans="1:27" ht="31.5">
      <c r="A34" s="746">
        <v>17</v>
      </c>
      <c r="B34" s="561">
        <v>7000016118</v>
      </c>
      <c r="C34" s="561">
        <v>360</v>
      </c>
      <c r="D34" s="561">
        <v>170</v>
      </c>
      <c r="E34" s="561">
        <v>20</v>
      </c>
      <c r="F34" s="561" t="s">
        <v>599</v>
      </c>
      <c r="G34" s="561">
        <v>100002070</v>
      </c>
      <c r="H34" s="561">
        <v>998736</v>
      </c>
      <c r="I34" s="562"/>
      <c r="J34" s="561">
        <v>18</v>
      </c>
      <c r="K34" s="560"/>
      <c r="L34" s="559" t="s">
        <v>528</v>
      </c>
      <c r="M34" s="561" t="s">
        <v>301</v>
      </c>
      <c r="N34" s="561">
        <v>1</v>
      </c>
      <c r="O34" s="547"/>
      <c r="P34" s="558" t="str">
        <f t="shared" si="2"/>
        <v>INCLUDED</v>
      </c>
      <c r="Q34" s="516">
        <f t="shared" si="3"/>
        <v>0</v>
      </c>
      <c r="R34" s="452">
        <f t="shared" si="4"/>
        <v>0</v>
      </c>
      <c r="S34" s="642">
        <f>Discount!$J$36</f>
        <v>0</v>
      </c>
      <c r="T34" s="452">
        <f t="shared" si="5"/>
        <v>0</v>
      </c>
      <c r="U34" s="453">
        <f t="shared" si="6"/>
        <v>0</v>
      </c>
      <c r="V34" s="769">
        <f t="shared" si="7"/>
        <v>0</v>
      </c>
      <c r="W34" s="264"/>
      <c r="X34" s="264"/>
      <c r="Y34" s="264"/>
      <c r="Z34" s="264"/>
      <c r="AA34" s="264"/>
    </row>
    <row r="35" spans="1:27" ht="31.5">
      <c r="A35" s="746">
        <v>18</v>
      </c>
      <c r="B35" s="561">
        <v>7000016118</v>
      </c>
      <c r="C35" s="561">
        <v>360</v>
      </c>
      <c r="D35" s="561">
        <v>170</v>
      </c>
      <c r="E35" s="561">
        <v>11</v>
      </c>
      <c r="F35" s="561" t="s">
        <v>599</v>
      </c>
      <c r="G35" s="561">
        <v>100002075</v>
      </c>
      <c r="H35" s="561">
        <v>998736</v>
      </c>
      <c r="I35" s="562"/>
      <c r="J35" s="561">
        <v>18</v>
      </c>
      <c r="K35" s="560"/>
      <c r="L35" s="559" t="s">
        <v>505</v>
      </c>
      <c r="M35" s="561" t="s">
        <v>301</v>
      </c>
      <c r="N35" s="561">
        <v>1</v>
      </c>
      <c r="O35" s="547"/>
      <c r="P35" s="558" t="str">
        <f t="shared" si="2"/>
        <v>INCLUDED</v>
      </c>
      <c r="Q35" s="516">
        <f t="shared" si="3"/>
        <v>0</v>
      </c>
      <c r="R35" s="452">
        <f t="shared" si="4"/>
        <v>0</v>
      </c>
      <c r="S35" s="642">
        <f>Discount!$J$36</f>
        <v>0</v>
      </c>
      <c r="T35" s="452">
        <f t="shared" si="5"/>
        <v>0</v>
      </c>
      <c r="U35" s="453">
        <f t="shared" si="6"/>
        <v>0</v>
      </c>
      <c r="V35" s="769">
        <f t="shared" si="7"/>
        <v>0</v>
      </c>
      <c r="W35" s="264"/>
      <c r="X35" s="264"/>
      <c r="Y35" s="264"/>
      <c r="Z35" s="264"/>
      <c r="AA35" s="264"/>
    </row>
    <row r="36" spans="1:27" ht="47.25">
      <c r="A36" s="746">
        <v>19</v>
      </c>
      <c r="B36" s="561">
        <v>7000016118</v>
      </c>
      <c r="C36" s="561">
        <v>370</v>
      </c>
      <c r="D36" s="561">
        <v>190</v>
      </c>
      <c r="E36" s="561">
        <v>10</v>
      </c>
      <c r="F36" s="561" t="s">
        <v>600</v>
      </c>
      <c r="G36" s="561">
        <v>100001021</v>
      </c>
      <c r="H36" s="561">
        <v>995461</v>
      </c>
      <c r="I36" s="562"/>
      <c r="J36" s="561">
        <v>18</v>
      </c>
      <c r="K36" s="560"/>
      <c r="L36" s="559" t="s">
        <v>576</v>
      </c>
      <c r="M36" s="561" t="s">
        <v>301</v>
      </c>
      <c r="N36" s="561">
        <v>1</v>
      </c>
      <c r="O36" s="547"/>
      <c r="P36" s="558" t="str">
        <f t="shared" si="2"/>
        <v>INCLUDED</v>
      </c>
      <c r="Q36" s="516">
        <f t="shared" si="3"/>
        <v>0</v>
      </c>
      <c r="R36" s="452">
        <f t="shared" si="4"/>
        <v>0</v>
      </c>
      <c r="S36" s="642">
        <f>Discount!$J$36</f>
        <v>0</v>
      </c>
      <c r="T36" s="452">
        <f t="shared" si="5"/>
        <v>0</v>
      </c>
      <c r="U36" s="453">
        <f t="shared" si="6"/>
        <v>0</v>
      </c>
      <c r="V36" s="769">
        <f t="shared" si="7"/>
        <v>0</v>
      </c>
      <c r="W36" s="264"/>
      <c r="X36" s="264"/>
      <c r="Y36" s="264"/>
      <c r="Z36" s="264"/>
      <c r="AA36" s="264"/>
    </row>
    <row r="37" spans="1:27" ht="47.25">
      <c r="A37" s="746">
        <v>20</v>
      </c>
      <c r="B37" s="561">
        <v>7000016118</v>
      </c>
      <c r="C37" s="561">
        <v>370</v>
      </c>
      <c r="D37" s="561">
        <v>190</v>
      </c>
      <c r="E37" s="561">
        <v>20</v>
      </c>
      <c r="F37" s="561" t="s">
        <v>600</v>
      </c>
      <c r="G37" s="561">
        <v>100001024</v>
      </c>
      <c r="H37" s="561">
        <v>998731</v>
      </c>
      <c r="I37" s="562"/>
      <c r="J37" s="561">
        <v>18</v>
      </c>
      <c r="K37" s="560"/>
      <c r="L37" s="559" t="s">
        <v>484</v>
      </c>
      <c r="M37" s="561" t="s">
        <v>301</v>
      </c>
      <c r="N37" s="561">
        <v>1</v>
      </c>
      <c r="O37" s="547"/>
      <c r="P37" s="558" t="str">
        <f t="shared" si="2"/>
        <v>INCLUDED</v>
      </c>
      <c r="Q37" s="516">
        <f t="shared" si="3"/>
        <v>0</v>
      </c>
      <c r="R37" s="452">
        <f>IF( K37="",J37*(IF(P37="Included",0,P37))/100,K37*(IF(P37="Included",0,P37)))</f>
        <v>0</v>
      </c>
      <c r="S37" s="642">
        <f>Discount!$J$36</f>
        <v>0</v>
      </c>
      <c r="T37" s="452">
        <f>S37*Q37</f>
        <v>0</v>
      </c>
      <c r="U37" s="453">
        <f t="shared" si="6"/>
        <v>0</v>
      </c>
      <c r="V37" s="769">
        <f t="shared" si="7"/>
        <v>0</v>
      </c>
      <c r="W37" s="264"/>
      <c r="X37" s="264"/>
      <c r="Y37" s="264"/>
      <c r="Z37" s="264"/>
      <c r="AA37" s="264"/>
    </row>
    <row r="38" spans="1:27" ht="47.25">
      <c r="A38" s="746">
        <v>21</v>
      </c>
      <c r="B38" s="561">
        <v>7000016118</v>
      </c>
      <c r="C38" s="561">
        <v>370</v>
      </c>
      <c r="D38" s="561">
        <v>190</v>
      </c>
      <c r="E38" s="561">
        <v>30</v>
      </c>
      <c r="F38" s="561" t="s">
        <v>600</v>
      </c>
      <c r="G38" s="561">
        <v>100001041</v>
      </c>
      <c r="H38" s="561">
        <v>998731</v>
      </c>
      <c r="I38" s="562"/>
      <c r="J38" s="561">
        <v>18</v>
      </c>
      <c r="K38" s="560"/>
      <c r="L38" s="559" t="s">
        <v>577</v>
      </c>
      <c r="M38" s="561" t="s">
        <v>301</v>
      </c>
      <c r="N38" s="561">
        <v>2</v>
      </c>
      <c r="O38" s="547"/>
      <c r="P38" s="558" t="str">
        <f t="shared" si="2"/>
        <v>INCLUDED</v>
      </c>
      <c r="Q38" s="516">
        <f t="shared" si="3"/>
        <v>0</v>
      </c>
      <c r="R38" s="452">
        <f t="shared" ref="R38:R86" si="8">IF( K38="",J38*(IF(P38="Included",0,P38))/100,K38*(IF(P38="Included",0,P38)))</f>
        <v>0</v>
      </c>
      <c r="S38" s="642">
        <f>Discount!$J$36</f>
        <v>0</v>
      </c>
      <c r="T38" s="452">
        <f t="shared" ref="T38:T86" si="9">S38*Q38</f>
        <v>0</v>
      </c>
      <c r="U38" s="453">
        <f t="shared" si="6"/>
        <v>0</v>
      </c>
      <c r="V38" s="769">
        <f t="shared" si="7"/>
        <v>0</v>
      </c>
      <c r="W38" s="264"/>
      <c r="X38" s="264"/>
      <c r="Y38" s="264"/>
      <c r="Z38" s="264"/>
      <c r="AA38" s="264"/>
    </row>
    <row r="39" spans="1:27" ht="47.25">
      <c r="A39" s="746">
        <v>22</v>
      </c>
      <c r="B39" s="561">
        <v>7000016118</v>
      </c>
      <c r="C39" s="561">
        <v>370</v>
      </c>
      <c r="D39" s="561">
        <v>190</v>
      </c>
      <c r="E39" s="561">
        <v>40</v>
      </c>
      <c r="F39" s="561" t="s">
        <v>600</v>
      </c>
      <c r="G39" s="561">
        <v>100001042</v>
      </c>
      <c r="H39" s="561">
        <v>998731</v>
      </c>
      <c r="I39" s="562"/>
      <c r="J39" s="561">
        <v>18</v>
      </c>
      <c r="K39" s="560"/>
      <c r="L39" s="559" t="s">
        <v>578</v>
      </c>
      <c r="M39" s="561" t="s">
        <v>301</v>
      </c>
      <c r="N39" s="561">
        <v>2</v>
      </c>
      <c r="O39" s="547"/>
      <c r="P39" s="558" t="str">
        <f t="shared" si="2"/>
        <v>INCLUDED</v>
      </c>
      <c r="Q39" s="516">
        <f t="shared" si="3"/>
        <v>0</v>
      </c>
      <c r="R39" s="452">
        <f t="shared" si="8"/>
        <v>0</v>
      </c>
      <c r="S39" s="642">
        <f>Discount!$J$36</f>
        <v>0</v>
      </c>
      <c r="T39" s="452">
        <f t="shared" si="9"/>
        <v>0</v>
      </c>
      <c r="U39" s="453">
        <f t="shared" si="6"/>
        <v>0</v>
      </c>
      <c r="V39" s="769">
        <f t="shared" si="7"/>
        <v>0</v>
      </c>
      <c r="W39" s="264"/>
      <c r="X39" s="264"/>
      <c r="Y39" s="264"/>
      <c r="Z39" s="264"/>
      <c r="AA39" s="264"/>
    </row>
    <row r="40" spans="1:27" ht="47.25">
      <c r="A40" s="746">
        <v>23</v>
      </c>
      <c r="B40" s="561">
        <v>7000016118</v>
      </c>
      <c r="C40" s="561">
        <v>370</v>
      </c>
      <c r="D40" s="561">
        <v>190</v>
      </c>
      <c r="E40" s="561">
        <v>50</v>
      </c>
      <c r="F40" s="561" t="s">
        <v>600</v>
      </c>
      <c r="G40" s="561">
        <v>100001052</v>
      </c>
      <c r="H40" s="561">
        <v>998731</v>
      </c>
      <c r="I40" s="562"/>
      <c r="J40" s="561">
        <v>18</v>
      </c>
      <c r="K40" s="560"/>
      <c r="L40" s="559" t="s">
        <v>616</v>
      </c>
      <c r="M40" s="561" t="s">
        <v>301</v>
      </c>
      <c r="N40" s="561">
        <v>1</v>
      </c>
      <c r="O40" s="547"/>
      <c r="P40" s="558" t="str">
        <f t="shared" si="2"/>
        <v>INCLUDED</v>
      </c>
      <c r="Q40" s="516">
        <f t="shared" si="3"/>
        <v>0</v>
      </c>
      <c r="R40" s="452">
        <f t="shared" si="8"/>
        <v>0</v>
      </c>
      <c r="S40" s="642">
        <f>Discount!$J$36</f>
        <v>0</v>
      </c>
      <c r="T40" s="452">
        <f t="shared" si="9"/>
        <v>0</v>
      </c>
      <c r="U40" s="453">
        <f t="shared" si="6"/>
        <v>0</v>
      </c>
      <c r="V40" s="769">
        <f t="shared" si="7"/>
        <v>0</v>
      </c>
      <c r="W40" s="264"/>
      <c r="X40" s="264"/>
      <c r="Y40" s="264"/>
      <c r="Z40" s="264"/>
      <c r="AA40" s="264"/>
    </row>
    <row r="41" spans="1:27" ht="57" customHeight="1">
      <c r="A41" s="746">
        <v>24</v>
      </c>
      <c r="B41" s="561">
        <v>7000016118</v>
      </c>
      <c r="C41" s="561">
        <v>370</v>
      </c>
      <c r="D41" s="561">
        <v>190</v>
      </c>
      <c r="E41" s="561">
        <v>100</v>
      </c>
      <c r="F41" s="561" t="s">
        <v>600</v>
      </c>
      <c r="G41" s="561">
        <v>100002771</v>
      </c>
      <c r="H41" s="561">
        <v>998731</v>
      </c>
      <c r="I41" s="562"/>
      <c r="J41" s="561">
        <v>18</v>
      </c>
      <c r="K41" s="560"/>
      <c r="L41" s="559" t="s">
        <v>617</v>
      </c>
      <c r="M41" s="561" t="s">
        <v>301</v>
      </c>
      <c r="N41" s="561">
        <v>1</v>
      </c>
      <c r="O41" s="547"/>
      <c r="P41" s="558" t="str">
        <f t="shared" si="2"/>
        <v>INCLUDED</v>
      </c>
      <c r="Q41" s="516">
        <f t="shared" si="3"/>
        <v>0</v>
      </c>
      <c r="R41" s="452">
        <f t="shared" si="8"/>
        <v>0</v>
      </c>
      <c r="S41" s="642">
        <f>Discount!$J$36</f>
        <v>0</v>
      </c>
      <c r="T41" s="452">
        <f t="shared" si="9"/>
        <v>0</v>
      </c>
      <c r="U41" s="453">
        <f t="shared" si="6"/>
        <v>0</v>
      </c>
      <c r="V41" s="769">
        <f t="shared" si="7"/>
        <v>0</v>
      </c>
      <c r="W41" s="264"/>
      <c r="X41" s="264"/>
      <c r="Y41" s="264"/>
      <c r="Z41" s="264"/>
      <c r="AA41" s="264"/>
    </row>
    <row r="42" spans="1:27" ht="55.5" customHeight="1">
      <c r="A42" s="746">
        <v>25</v>
      </c>
      <c r="B42" s="561">
        <v>7000016118</v>
      </c>
      <c r="C42" s="561">
        <v>430</v>
      </c>
      <c r="D42" s="561">
        <v>205</v>
      </c>
      <c r="E42" s="561">
        <v>10</v>
      </c>
      <c r="F42" s="561" t="s">
        <v>601</v>
      </c>
      <c r="G42" s="561">
        <v>100002181</v>
      </c>
      <c r="H42" s="561">
        <v>998736</v>
      </c>
      <c r="I42" s="562"/>
      <c r="J42" s="561">
        <v>18</v>
      </c>
      <c r="K42" s="560"/>
      <c r="L42" s="559" t="s">
        <v>486</v>
      </c>
      <c r="M42" s="561" t="s">
        <v>485</v>
      </c>
      <c r="N42" s="561">
        <v>1</v>
      </c>
      <c r="O42" s="547"/>
      <c r="P42" s="558" t="str">
        <f t="shared" si="2"/>
        <v>INCLUDED</v>
      </c>
      <c r="Q42" s="516">
        <f t="shared" si="3"/>
        <v>0</v>
      </c>
      <c r="R42" s="452">
        <f t="shared" si="8"/>
        <v>0</v>
      </c>
      <c r="S42" s="642">
        <f>Discount!$J$36</f>
        <v>0</v>
      </c>
      <c r="T42" s="452">
        <f t="shared" si="9"/>
        <v>0</v>
      </c>
      <c r="U42" s="453">
        <f t="shared" si="6"/>
        <v>0</v>
      </c>
      <c r="V42" s="769">
        <f t="shared" si="7"/>
        <v>0</v>
      </c>
      <c r="W42" s="264"/>
      <c r="X42" s="264"/>
      <c r="Y42" s="264"/>
      <c r="Z42" s="264"/>
      <c r="AA42" s="264"/>
    </row>
    <row r="43" spans="1:27" ht="88.5" customHeight="1">
      <c r="A43" s="746">
        <v>26</v>
      </c>
      <c r="B43" s="561">
        <v>7000016118</v>
      </c>
      <c r="C43" s="561">
        <v>430</v>
      </c>
      <c r="D43" s="561">
        <v>205</v>
      </c>
      <c r="E43" s="561">
        <v>20</v>
      </c>
      <c r="F43" s="561" t="s">
        <v>601</v>
      </c>
      <c r="G43" s="561">
        <v>100002182</v>
      </c>
      <c r="H43" s="561">
        <v>998736</v>
      </c>
      <c r="I43" s="562"/>
      <c r="J43" s="561">
        <v>18</v>
      </c>
      <c r="K43" s="560"/>
      <c r="L43" s="559" t="s">
        <v>487</v>
      </c>
      <c r="M43" s="561" t="s">
        <v>485</v>
      </c>
      <c r="N43" s="561">
        <v>1</v>
      </c>
      <c r="O43" s="547"/>
      <c r="P43" s="558" t="str">
        <f t="shared" si="2"/>
        <v>INCLUDED</v>
      </c>
      <c r="Q43" s="516">
        <f t="shared" si="3"/>
        <v>0</v>
      </c>
      <c r="R43" s="452">
        <f t="shared" si="8"/>
        <v>0</v>
      </c>
      <c r="S43" s="642">
        <f>Discount!$J$36</f>
        <v>0</v>
      </c>
      <c r="T43" s="452">
        <f t="shared" si="9"/>
        <v>0</v>
      </c>
      <c r="U43" s="453">
        <f t="shared" si="6"/>
        <v>0</v>
      </c>
      <c r="V43" s="769">
        <f t="shared" si="7"/>
        <v>0</v>
      </c>
      <c r="W43" s="264"/>
      <c r="X43" s="264"/>
      <c r="Y43" s="264"/>
      <c r="Z43" s="264"/>
      <c r="AA43" s="264"/>
    </row>
    <row r="44" spans="1:27" ht="284.25" customHeight="1">
      <c r="A44" s="746">
        <v>27</v>
      </c>
      <c r="B44" s="561">
        <v>7000016118</v>
      </c>
      <c r="C44" s="561">
        <v>430</v>
      </c>
      <c r="D44" s="561">
        <v>205</v>
      </c>
      <c r="E44" s="561">
        <v>30</v>
      </c>
      <c r="F44" s="561" t="s">
        <v>601</v>
      </c>
      <c r="G44" s="561">
        <v>100001124</v>
      </c>
      <c r="H44" s="561">
        <v>998736</v>
      </c>
      <c r="I44" s="562"/>
      <c r="J44" s="561">
        <v>18</v>
      </c>
      <c r="K44" s="560"/>
      <c r="L44" s="559" t="s">
        <v>618</v>
      </c>
      <c r="M44" s="561" t="s">
        <v>478</v>
      </c>
      <c r="N44" s="561">
        <v>100</v>
      </c>
      <c r="O44" s="547"/>
      <c r="P44" s="558" t="str">
        <f t="shared" si="2"/>
        <v>INCLUDED</v>
      </c>
      <c r="Q44" s="516">
        <f t="shared" si="3"/>
        <v>0</v>
      </c>
      <c r="R44" s="452">
        <f t="shared" si="8"/>
        <v>0</v>
      </c>
      <c r="S44" s="642">
        <f>Discount!$J$36</f>
        <v>0</v>
      </c>
      <c r="T44" s="452">
        <f t="shared" si="9"/>
        <v>0</v>
      </c>
      <c r="U44" s="453">
        <f t="shared" si="6"/>
        <v>0</v>
      </c>
      <c r="V44" s="769">
        <f t="shared" si="7"/>
        <v>0</v>
      </c>
      <c r="W44" s="264"/>
      <c r="X44" s="264"/>
      <c r="Y44" s="264"/>
      <c r="Z44" s="264"/>
      <c r="AA44" s="264"/>
    </row>
    <row r="45" spans="1:27" ht="47.25">
      <c r="A45" s="746">
        <v>28</v>
      </c>
      <c r="B45" s="561">
        <v>7000016118</v>
      </c>
      <c r="C45" s="561">
        <v>380</v>
      </c>
      <c r="D45" s="561">
        <v>210</v>
      </c>
      <c r="E45" s="561">
        <v>20</v>
      </c>
      <c r="F45" s="561" t="s">
        <v>602</v>
      </c>
      <c r="G45" s="561">
        <v>100001216</v>
      </c>
      <c r="H45" s="561">
        <v>995455</v>
      </c>
      <c r="I45" s="562"/>
      <c r="J45" s="561">
        <v>18</v>
      </c>
      <c r="K45" s="560"/>
      <c r="L45" s="559" t="s">
        <v>507</v>
      </c>
      <c r="M45" s="561" t="s">
        <v>301</v>
      </c>
      <c r="N45" s="561">
        <v>3</v>
      </c>
      <c r="O45" s="547"/>
      <c r="P45" s="558" t="str">
        <f t="shared" si="2"/>
        <v>INCLUDED</v>
      </c>
      <c r="Q45" s="516">
        <f t="shared" si="3"/>
        <v>0</v>
      </c>
      <c r="R45" s="452">
        <f t="shared" si="8"/>
        <v>0</v>
      </c>
      <c r="S45" s="642">
        <f>Discount!$J$36</f>
        <v>0</v>
      </c>
      <c r="T45" s="452">
        <f t="shared" si="9"/>
        <v>0</v>
      </c>
      <c r="U45" s="453">
        <f t="shared" si="6"/>
        <v>0</v>
      </c>
      <c r="V45" s="769">
        <f t="shared" si="7"/>
        <v>0</v>
      </c>
      <c r="W45" s="264"/>
      <c r="X45" s="264"/>
      <c r="Y45" s="264"/>
      <c r="Z45" s="264"/>
      <c r="AA45" s="264"/>
    </row>
    <row r="46" spans="1:27" ht="63">
      <c r="A46" s="746">
        <v>29</v>
      </c>
      <c r="B46" s="561">
        <v>7000016118</v>
      </c>
      <c r="C46" s="561">
        <v>380</v>
      </c>
      <c r="D46" s="561">
        <v>210</v>
      </c>
      <c r="E46" s="561">
        <v>30</v>
      </c>
      <c r="F46" s="561" t="s">
        <v>602</v>
      </c>
      <c r="G46" s="561">
        <v>100001217</v>
      </c>
      <c r="H46" s="561">
        <v>995455</v>
      </c>
      <c r="I46" s="562"/>
      <c r="J46" s="561">
        <v>18</v>
      </c>
      <c r="K46" s="560"/>
      <c r="L46" s="559" t="s">
        <v>508</v>
      </c>
      <c r="M46" s="561" t="s">
        <v>301</v>
      </c>
      <c r="N46" s="561">
        <v>3</v>
      </c>
      <c r="O46" s="547"/>
      <c r="P46" s="558" t="str">
        <f t="shared" si="2"/>
        <v>INCLUDED</v>
      </c>
      <c r="Q46" s="516">
        <f t="shared" si="3"/>
        <v>0</v>
      </c>
      <c r="R46" s="452">
        <f t="shared" si="8"/>
        <v>0</v>
      </c>
      <c r="S46" s="642">
        <f>Discount!$J$36</f>
        <v>0</v>
      </c>
      <c r="T46" s="452">
        <f t="shared" si="9"/>
        <v>0</v>
      </c>
      <c r="U46" s="453">
        <f t="shared" si="6"/>
        <v>0</v>
      </c>
      <c r="V46" s="769">
        <f t="shared" si="7"/>
        <v>0</v>
      </c>
      <c r="W46" s="264"/>
      <c r="X46" s="264"/>
      <c r="Y46" s="264"/>
      <c r="Z46" s="264"/>
      <c r="AA46" s="264"/>
    </row>
    <row r="47" spans="1:27" ht="41.25" customHeight="1">
      <c r="A47" s="746">
        <v>30</v>
      </c>
      <c r="B47" s="561">
        <v>7000016118</v>
      </c>
      <c r="C47" s="561">
        <v>380</v>
      </c>
      <c r="D47" s="561">
        <v>210</v>
      </c>
      <c r="E47" s="561">
        <v>70</v>
      </c>
      <c r="F47" s="561" t="s">
        <v>602</v>
      </c>
      <c r="G47" s="561">
        <v>100001224</v>
      </c>
      <c r="H47" s="561">
        <v>995455</v>
      </c>
      <c r="I47" s="562"/>
      <c r="J47" s="561">
        <v>18</v>
      </c>
      <c r="K47" s="560"/>
      <c r="L47" s="559" t="s">
        <v>530</v>
      </c>
      <c r="M47" s="561" t="s">
        <v>301</v>
      </c>
      <c r="N47" s="561">
        <v>3</v>
      </c>
      <c r="O47" s="547"/>
      <c r="P47" s="558" t="str">
        <f t="shared" si="2"/>
        <v>INCLUDED</v>
      </c>
      <c r="Q47" s="516">
        <f t="shared" si="3"/>
        <v>0</v>
      </c>
      <c r="R47" s="452">
        <f t="shared" si="8"/>
        <v>0</v>
      </c>
      <c r="S47" s="642">
        <f>Discount!$J$36</f>
        <v>0</v>
      </c>
      <c r="T47" s="452">
        <f t="shared" si="9"/>
        <v>0</v>
      </c>
      <c r="U47" s="453">
        <f t="shared" si="6"/>
        <v>0</v>
      </c>
      <c r="V47" s="769">
        <f t="shared" si="7"/>
        <v>0</v>
      </c>
      <c r="W47" s="264"/>
      <c r="X47" s="264"/>
      <c r="Y47" s="264"/>
      <c r="Z47" s="264"/>
      <c r="AA47" s="264"/>
    </row>
    <row r="48" spans="1:27" ht="47.25">
      <c r="A48" s="746">
        <v>31</v>
      </c>
      <c r="B48" s="561">
        <v>7000016118</v>
      </c>
      <c r="C48" s="561">
        <v>380</v>
      </c>
      <c r="D48" s="561">
        <v>210</v>
      </c>
      <c r="E48" s="561">
        <v>120</v>
      </c>
      <c r="F48" s="561" t="s">
        <v>602</v>
      </c>
      <c r="G48" s="561">
        <v>100001241</v>
      </c>
      <c r="H48" s="561">
        <v>995455</v>
      </c>
      <c r="I48" s="562"/>
      <c r="J48" s="561">
        <v>18</v>
      </c>
      <c r="K48" s="560"/>
      <c r="L48" s="559" t="s">
        <v>531</v>
      </c>
      <c r="M48" s="561" t="s">
        <v>300</v>
      </c>
      <c r="N48" s="561">
        <v>1.1000000000000001</v>
      </c>
      <c r="O48" s="547"/>
      <c r="P48" s="558" t="str">
        <f t="shared" si="2"/>
        <v>INCLUDED</v>
      </c>
      <c r="Q48" s="516">
        <f t="shared" si="3"/>
        <v>0</v>
      </c>
      <c r="R48" s="452">
        <f t="shared" si="8"/>
        <v>0</v>
      </c>
      <c r="S48" s="642">
        <f>Discount!$J$36</f>
        <v>0</v>
      </c>
      <c r="T48" s="452">
        <f t="shared" si="9"/>
        <v>0</v>
      </c>
      <c r="U48" s="453">
        <f t="shared" si="6"/>
        <v>0</v>
      </c>
      <c r="V48" s="769">
        <f t="shared" si="7"/>
        <v>0</v>
      </c>
      <c r="W48" s="264"/>
      <c r="X48" s="264"/>
      <c r="Y48" s="264"/>
      <c r="Z48" s="264"/>
      <c r="AA48" s="264"/>
    </row>
    <row r="49" spans="1:27" ht="47.25">
      <c r="A49" s="746">
        <v>32</v>
      </c>
      <c r="B49" s="561">
        <v>7000016118</v>
      </c>
      <c r="C49" s="561">
        <v>380</v>
      </c>
      <c r="D49" s="561">
        <v>210</v>
      </c>
      <c r="E49" s="561">
        <v>130</v>
      </c>
      <c r="F49" s="561" t="s">
        <v>602</v>
      </c>
      <c r="G49" s="561">
        <v>100001680</v>
      </c>
      <c r="H49" s="561">
        <v>995455</v>
      </c>
      <c r="I49" s="562"/>
      <c r="J49" s="561">
        <v>18</v>
      </c>
      <c r="K49" s="560"/>
      <c r="L49" s="559" t="s">
        <v>532</v>
      </c>
      <c r="M49" s="561" t="s">
        <v>300</v>
      </c>
      <c r="N49" s="561">
        <v>0.02</v>
      </c>
      <c r="O49" s="547"/>
      <c r="P49" s="558" t="str">
        <f t="shared" si="2"/>
        <v>INCLUDED</v>
      </c>
      <c r="Q49" s="516">
        <f t="shared" si="3"/>
        <v>0</v>
      </c>
      <c r="R49" s="452">
        <f t="shared" si="8"/>
        <v>0</v>
      </c>
      <c r="S49" s="642">
        <f>Discount!$J$36</f>
        <v>0</v>
      </c>
      <c r="T49" s="452">
        <f t="shared" si="9"/>
        <v>0</v>
      </c>
      <c r="U49" s="453">
        <f t="shared" si="6"/>
        <v>0</v>
      </c>
      <c r="V49" s="769">
        <f t="shared" si="7"/>
        <v>0</v>
      </c>
      <c r="W49" s="264"/>
      <c r="X49" s="264"/>
      <c r="Y49" s="264"/>
      <c r="Z49" s="264"/>
      <c r="AA49" s="264"/>
    </row>
    <row r="50" spans="1:27" ht="47.25">
      <c r="A50" s="746">
        <v>33</v>
      </c>
      <c r="B50" s="561">
        <v>7000016118</v>
      </c>
      <c r="C50" s="561">
        <v>390</v>
      </c>
      <c r="D50" s="561">
        <v>320</v>
      </c>
      <c r="E50" s="561">
        <v>71</v>
      </c>
      <c r="F50" s="561" t="s">
        <v>603</v>
      </c>
      <c r="G50" s="561">
        <v>100000983</v>
      </c>
      <c r="H50" s="561">
        <v>998736</v>
      </c>
      <c r="I50" s="562"/>
      <c r="J50" s="561">
        <v>18</v>
      </c>
      <c r="K50" s="560"/>
      <c r="L50" s="559" t="s">
        <v>529</v>
      </c>
      <c r="M50" s="561" t="s">
        <v>302</v>
      </c>
      <c r="N50" s="561">
        <v>1</v>
      </c>
      <c r="O50" s="547"/>
      <c r="P50" s="558" t="str">
        <f t="shared" si="2"/>
        <v>INCLUDED</v>
      </c>
      <c r="Q50" s="516">
        <f t="shared" si="3"/>
        <v>0</v>
      </c>
      <c r="R50" s="452">
        <f t="shared" si="8"/>
        <v>0</v>
      </c>
      <c r="S50" s="642">
        <f>Discount!$J$36</f>
        <v>0</v>
      </c>
      <c r="T50" s="452">
        <f t="shared" si="9"/>
        <v>0</v>
      </c>
      <c r="U50" s="453">
        <f t="shared" si="6"/>
        <v>0</v>
      </c>
      <c r="V50" s="769">
        <f t="shared" si="7"/>
        <v>0</v>
      </c>
      <c r="W50" s="264"/>
      <c r="X50" s="264"/>
      <c r="Y50" s="264"/>
      <c r="Z50" s="264"/>
      <c r="AA50" s="264"/>
    </row>
    <row r="51" spans="1:27" ht="31.5">
      <c r="A51" s="746">
        <v>34</v>
      </c>
      <c r="B51" s="561">
        <v>7000016118</v>
      </c>
      <c r="C51" s="561">
        <v>390</v>
      </c>
      <c r="D51" s="561">
        <v>320</v>
      </c>
      <c r="E51" s="561">
        <v>70</v>
      </c>
      <c r="F51" s="561" t="s">
        <v>603</v>
      </c>
      <c r="G51" s="561">
        <v>100001019</v>
      </c>
      <c r="H51" s="561">
        <v>998736</v>
      </c>
      <c r="I51" s="562"/>
      <c r="J51" s="561">
        <v>18</v>
      </c>
      <c r="K51" s="560"/>
      <c r="L51" s="559" t="s">
        <v>619</v>
      </c>
      <c r="M51" s="561" t="s">
        <v>301</v>
      </c>
      <c r="N51" s="561">
        <v>1</v>
      </c>
      <c r="O51" s="547"/>
      <c r="P51" s="558" t="str">
        <f t="shared" si="2"/>
        <v>INCLUDED</v>
      </c>
      <c r="Q51" s="516">
        <f t="shared" si="3"/>
        <v>0</v>
      </c>
      <c r="R51" s="452">
        <f t="shared" si="8"/>
        <v>0</v>
      </c>
      <c r="S51" s="642">
        <f>Discount!$J$36</f>
        <v>0</v>
      </c>
      <c r="T51" s="452">
        <f t="shared" si="9"/>
        <v>0</v>
      </c>
      <c r="U51" s="453">
        <f t="shared" si="6"/>
        <v>0</v>
      </c>
      <c r="V51" s="769">
        <f t="shared" si="7"/>
        <v>0</v>
      </c>
      <c r="W51" s="264"/>
      <c r="X51" s="264"/>
      <c r="Y51" s="264"/>
      <c r="Z51" s="264"/>
      <c r="AA51" s="264"/>
    </row>
    <row r="52" spans="1:27" ht="47.25">
      <c r="A52" s="746">
        <v>35</v>
      </c>
      <c r="B52" s="561">
        <v>7000016118</v>
      </c>
      <c r="C52" s="561">
        <v>510</v>
      </c>
      <c r="D52" s="561">
        <v>510</v>
      </c>
      <c r="E52" s="561">
        <v>23</v>
      </c>
      <c r="F52" s="561" t="s">
        <v>604</v>
      </c>
      <c r="G52" s="561">
        <v>100003589</v>
      </c>
      <c r="H52" s="561">
        <v>998736</v>
      </c>
      <c r="I52" s="562"/>
      <c r="J52" s="561">
        <v>18</v>
      </c>
      <c r="K52" s="560"/>
      <c r="L52" s="559" t="s">
        <v>620</v>
      </c>
      <c r="M52" s="561" t="s">
        <v>302</v>
      </c>
      <c r="N52" s="561">
        <v>3</v>
      </c>
      <c r="O52" s="547"/>
      <c r="P52" s="558" t="str">
        <f t="shared" si="2"/>
        <v>INCLUDED</v>
      </c>
      <c r="Q52" s="516">
        <f t="shared" si="3"/>
        <v>0</v>
      </c>
      <c r="R52" s="452">
        <f t="shared" si="8"/>
        <v>0</v>
      </c>
      <c r="S52" s="642">
        <f>Discount!$J$36</f>
        <v>0</v>
      </c>
      <c r="T52" s="452">
        <f t="shared" si="9"/>
        <v>0</v>
      </c>
      <c r="U52" s="453">
        <f t="shared" si="6"/>
        <v>0</v>
      </c>
      <c r="V52" s="769">
        <f t="shared" si="7"/>
        <v>0</v>
      </c>
      <c r="W52" s="264"/>
      <c r="X52" s="264"/>
      <c r="Y52" s="264"/>
      <c r="Z52" s="264"/>
      <c r="AA52" s="264"/>
    </row>
    <row r="53" spans="1:27" ht="47.25">
      <c r="A53" s="746">
        <v>36</v>
      </c>
      <c r="B53" s="561">
        <v>7000016118</v>
      </c>
      <c r="C53" s="561">
        <v>510</v>
      </c>
      <c r="D53" s="561">
        <v>510</v>
      </c>
      <c r="E53" s="561">
        <v>20</v>
      </c>
      <c r="F53" s="561" t="s">
        <v>604</v>
      </c>
      <c r="G53" s="561">
        <v>100003764</v>
      </c>
      <c r="H53" s="561">
        <v>998736</v>
      </c>
      <c r="I53" s="562"/>
      <c r="J53" s="561">
        <v>18</v>
      </c>
      <c r="K53" s="560"/>
      <c r="L53" s="559" t="s">
        <v>621</v>
      </c>
      <c r="M53" s="561" t="s">
        <v>478</v>
      </c>
      <c r="N53" s="561">
        <v>210</v>
      </c>
      <c r="O53" s="547"/>
      <c r="P53" s="558" t="str">
        <f t="shared" si="2"/>
        <v>INCLUDED</v>
      </c>
      <c r="Q53" s="516">
        <f t="shared" si="3"/>
        <v>0</v>
      </c>
      <c r="R53" s="452">
        <f t="shared" si="8"/>
        <v>0</v>
      </c>
      <c r="S53" s="642">
        <f>Discount!$J$36</f>
        <v>0</v>
      </c>
      <c r="T53" s="452">
        <f t="shared" si="9"/>
        <v>0</v>
      </c>
      <c r="U53" s="453">
        <f t="shared" si="6"/>
        <v>0</v>
      </c>
      <c r="V53" s="769">
        <f t="shared" si="7"/>
        <v>0</v>
      </c>
      <c r="W53" s="264"/>
      <c r="X53" s="264"/>
      <c r="Y53" s="264"/>
      <c r="Z53" s="264"/>
      <c r="AA53" s="264"/>
    </row>
    <row r="54" spans="1:27" ht="99" customHeight="1">
      <c r="A54" s="746">
        <v>37</v>
      </c>
      <c r="B54" s="561">
        <v>7000016118</v>
      </c>
      <c r="C54" s="561">
        <v>510</v>
      </c>
      <c r="D54" s="561">
        <v>510</v>
      </c>
      <c r="E54" s="561">
        <v>22</v>
      </c>
      <c r="F54" s="561" t="s">
        <v>604</v>
      </c>
      <c r="G54" s="561">
        <v>100000372</v>
      </c>
      <c r="H54" s="561">
        <v>998736</v>
      </c>
      <c r="I54" s="562"/>
      <c r="J54" s="561">
        <v>18</v>
      </c>
      <c r="K54" s="560"/>
      <c r="L54" s="559" t="s">
        <v>622</v>
      </c>
      <c r="M54" s="561" t="s">
        <v>302</v>
      </c>
      <c r="N54" s="561">
        <v>1</v>
      </c>
      <c r="O54" s="547"/>
      <c r="P54" s="558" t="str">
        <f t="shared" si="2"/>
        <v>INCLUDED</v>
      </c>
      <c r="Q54" s="516">
        <f t="shared" si="3"/>
        <v>0</v>
      </c>
      <c r="R54" s="452">
        <f t="shared" si="8"/>
        <v>0</v>
      </c>
      <c r="S54" s="642">
        <f>Discount!$J$36</f>
        <v>0</v>
      </c>
      <c r="T54" s="452">
        <f t="shared" si="9"/>
        <v>0</v>
      </c>
      <c r="U54" s="453">
        <f t="shared" si="6"/>
        <v>0</v>
      </c>
      <c r="V54" s="769">
        <f t="shared" si="7"/>
        <v>0</v>
      </c>
      <c r="W54" s="264"/>
      <c r="X54" s="264"/>
      <c r="Y54" s="264"/>
      <c r="Z54" s="264"/>
      <c r="AA54" s="264"/>
    </row>
    <row r="55" spans="1:27" ht="47.25">
      <c r="A55" s="746">
        <v>38</v>
      </c>
      <c r="B55" s="561">
        <v>7000016118</v>
      </c>
      <c r="C55" s="561">
        <v>510</v>
      </c>
      <c r="D55" s="561">
        <v>510</v>
      </c>
      <c r="E55" s="561">
        <v>21</v>
      </c>
      <c r="F55" s="561" t="s">
        <v>604</v>
      </c>
      <c r="G55" s="561">
        <v>100003583</v>
      </c>
      <c r="H55" s="561">
        <v>998736</v>
      </c>
      <c r="I55" s="562"/>
      <c r="J55" s="561">
        <v>18</v>
      </c>
      <c r="K55" s="560"/>
      <c r="L55" s="559" t="s">
        <v>623</v>
      </c>
      <c r="M55" s="561" t="s">
        <v>302</v>
      </c>
      <c r="N55" s="561">
        <v>2</v>
      </c>
      <c r="O55" s="547"/>
      <c r="P55" s="558" t="str">
        <f t="shared" si="2"/>
        <v>INCLUDED</v>
      </c>
      <c r="Q55" s="516">
        <f t="shared" si="3"/>
        <v>0</v>
      </c>
      <c r="R55" s="452">
        <f t="shared" si="8"/>
        <v>0</v>
      </c>
      <c r="S55" s="642">
        <f>Discount!$J$36</f>
        <v>0</v>
      </c>
      <c r="T55" s="452">
        <f t="shared" si="9"/>
        <v>0</v>
      </c>
      <c r="U55" s="453">
        <f t="shared" si="6"/>
        <v>0</v>
      </c>
      <c r="V55" s="769">
        <f t="shared" si="7"/>
        <v>0</v>
      </c>
      <c r="W55" s="264"/>
      <c r="X55" s="264"/>
      <c r="Y55" s="264"/>
      <c r="Z55" s="264"/>
      <c r="AA55" s="264"/>
    </row>
    <row r="56" spans="1:27" ht="47.25">
      <c r="A56" s="746">
        <v>39</v>
      </c>
      <c r="B56" s="561">
        <v>7000016118</v>
      </c>
      <c r="C56" s="561">
        <v>520</v>
      </c>
      <c r="D56" s="561">
        <v>520</v>
      </c>
      <c r="E56" s="561">
        <v>10</v>
      </c>
      <c r="F56" s="561" t="s">
        <v>605</v>
      </c>
      <c r="G56" s="561">
        <v>100001907</v>
      </c>
      <c r="H56" s="561">
        <v>998736</v>
      </c>
      <c r="I56" s="562"/>
      <c r="J56" s="561">
        <v>18</v>
      </c>
      <c r="K56" s="560"/>
      <c r="L56" s="559" t="s">
        <v>525</v>
      </c>
      <c r="M56" s="561" t="s">
        <v>301</v>
      </c>
      <c r="N56" s="561">
        <v>3</v>
      </c>
      <c r="O56" s="547"/>
      <c r="P56" s="558" t="str">
        <f t="shared" si="2"/>
        <v>INCLUDED</v>
      </c>
      <c r="Q56" s="516">
        <f t="shared" si="3"/>
        <v>0</v>
      </c>
      <c r="R56" s="452">
        <f t="shared" si="8"/>
        <v>0</v>
      </c>
      <c r="S56" s="642">
        <f>Discount!$J$36</f>
        <v>0</v>
      </c>
      <c r="T56" s="452">
        <f t="shared" si="9"/>
        <v>0</v>
      </c>
      <c r="U56" s="453">
        <f t="shared" si="6"/>
        <v>0</v>
      </c>
      <c r="V56" s="769">
        <f t="shared" si="7"/>
        <v>0</v>
      </c>
      <c r="W56" s="264"/>
      <c r="X56" s="264"/>
      <c r="Y56" s="264"/>
      <c r="Z56" s="264"/>
      <c r="AA56" s="264"/>
    </row>
    <row r="57" spans="1:27" ht="47.25">
      <c r="A57" s="746">
        <v>40</v>
      </c>
      <c r="B57" s="561">
        <v>7000016118</v>
      </c>
      <c r="C57" s="561">
        <v>520</v>
      </c>
      <c r="D57" s="561">
        <v>520</v>
      </c>
      <c r="E57" s="561">
        <v>20</v>
      </c>
      <c r="F57" s="561" t="s">
        <v>605</v>
      </c>
      <c r="G57" s="561">
        <v>100000484</v>
      </c>
      <c r="H57" s="561">
        <v>998736</v>
      </c>
      <c r="I57" s="562"/>
      <c r="J57" s="561">
        <v>18</v>
      </c>
      <c r="K57" s="560"/>
      <c r="L57" s="559" t="s">
        <v>490</v>
      </c>
      <c r="M57" s="561" t="s">
        <v>301</v>
      </c>
      <c r="N57" s="561">
        <v>3</v>
      </c>
      <c r="O57" s="547"/>
      <c r="P57" s="558" t="str">
        <f t="shared" si="2"/>
        <v>INCLUDED</v>
      </c>
      <c r="Q57" s="516">
        <f t="shared" si="3"/>
        <v>0</v>
      </c>
      <c r="R57" s="452">
        <f t="shared" si="8"/>
        <v>0</v>
      </c>
      <c r="S57" s="642">
        <f>Discount!$J$36</f>
        <v>0</v>
      </c>
      <c r="T57" s="452">
        <f t="shared" si="9"/>
        <v>0</v>
      </c>
      <c r="U57" s="453">
        <f t="shared" si="6"/>
        <v>0</v>
      </c>
      <c r="V57" s="769">
        <f t="shared" si="7"/>
        <v>0</v>
      </c>
      <c r="W57" s="264"/>
      <c r="X57" s="264"/>
      <c r="Y57" s="264"/>
      <c r="Z57" s="264"/>
      <c r="AA57" s="264"/>
    </row>
    <row r="58" spans="1:27" ht="47.25">
      <c r="A58" s="746">
        <v>41</v>
      </c>
      <c r="B58" s="561">
        <v>7000016118</v>
      </c>
      <c r="C58" s="561">
        <v>530</v>
      </c>
      <c r="D58" s="561">
        <v>530</v>
      </c>
      <c r="E58" s="561">
        <v>10</v>
      </c>
      <c r="F58" s="561" t="s">
        <v>606</v>
      </c>
      <c r="G58" s="561">
        <v>100000513</v>
      </c>
      <c r="H58" s="561">
        <v>998731</v>
      </c>
      <c r="I58" s="562"/>
      <c r="J58" s="561">
        <v>18</v>
      </c>
      <c r="K58" s="560"/>
      <c r="L58" s="559" t="s">
        <v>624</v>
      </c>
      <c r="M58" s="561" t="s">
        <v>302</v>
      </c>
      <c r="N58" s="561">
        <v>1</v>
      </c>
      <c r="O58" s="547"/>
      <c r="P58" s="558" t="str">
        <f t="shared" si="2"/>
        <v>INCLUDED</v>
      </c>
      <c r="Q58" s="516">
        <f t="shared" si="3"/>
        <v>0</v>
      </c>
      <c r="R58" s="452">
        <f t="shared" si="8"/>
        <v>0</v>
      </c>
      <c r="S58" s="642">
        <f>Discount!$J$36</f>
        <v>0</v>
      </c>
      <c r="T58" s="452">
        <f t="shared" si="9"/>
        <v>0</v>
      </c>
      <c r="U58" s="453">
        <f t="shared" si="6"/>
        <v>0</v>
      </c>
      <c r="V58" s="769">
        <f t="shared" si="7"/>
        <v>0</v>
      </c>
      <c r="W58" s="264"/>
      <c r="X58" s="264"/>
      <c r="Y58" s="264"/>
      <c r="Z58" s="264"/>
      <c r="AA58" s="264"/>
    </row>
    <row r="59" spans="1:27" ht="31.5">
      <c r="A59" s="746">
        <v>42</v>
      </c>
      <c r="B59" s="561">
        <v>7000016118</v>
      </c>
      <c r="C59" s="561">
        <v>630</v>
      </c>
      <c r="D59" s="561">
        <v>610</v>
      </c>
      <c r="E59" s="561">
        <v>10</v>
      </c>
      <c r="F59" s="561" t="s">
        <v>566</v>
      </c>
      <c r="G59" s="561">
        <v>100001674</v>
      </c>
      <c r="H59" s="561">
        <v>995455</v>
      </c>
      <c r="I59" s="562"/>
      <c r="J59" s="561">
        <v>18</v>
      </c>
      <c r="K59" s="560"/>
      <c r="L59" s="559" t="s">
        <v>524</v>
      </c>
      <c r="M59" s="561" t="s">
        <v>301</v>
      </c>
      <c r="N59" s="561">
        <v>36</v>
      </c>
      <c r="O59" s="547"/>
      <c r="P59" s="558" t="str">
        <f t="shared" si="2"/>
        <v>INCLUDED</v>
      </c>
      <c r="Q59" s="516">
        <f t="shared" si="3"/>
        <v>0</v>
      </c>
      <c r="R59" s="452">
        <f t="shared" si="8"/>
        <v>0</v>
      </c>
      <c r="S59" s="642">
        <f>Discount!$J$36</f>
        <v>0</v>
      </c>
      <c r="T59" s="452">
        <f t="shared" si="9"/>
        <v>0</v>
      </c>
      <c r="U59" s="453">
        <f t="shared" si="6"/>
        <v>0</v>
      </c>
      <c r="V59" s="769">
        <f t="shared" si="7"/>
        <v>0</v>
      </c>
      <c r="W59" s="264"/>
      <c r="X59" s="264"/>
      <c r="Y59" s="264"/>
      <c r="Z59" s="264"/>
      <c r="AA59" s="264"/>
    </row>
    <row r="60" spans="1:27" ht="47.25">
      <c r="A60" s="746">
        <v>43</v>
      </c>
      <c r="B60" s="561">
        <v>7000016118</v>
      </c>
      <c r="C60" s="561">
        <v>630</v>
      </c>
      <c r="D60" s="561">
        <v>610</v>
      </c>
      <c r="E60" s="561">
        <v>30</v>
      </c>
      <c r="F60" s="561" t="s">
        <v>566</v>
      </c>
      <c r="G60" s="561">
        <v>100001681</v>
      </c>
      <c r="H60" s="561">
        <v>995455</v>
      </c>
      <c r="I60" s="562"/>
      <c r="J60" s="561">
        <v>18</v>
      </c>
      <c r="K60" s="560"/>
      <c r="L60" s="559" t="s">
        <v>533</v>
      </c>
      <c r="M60" s="561" t="s">
        <v>300</v>
      </c>
      <c r="N60" s="561">
        <v>0.25</v>
      </c>
      <c r="O60" s="547"/>
      <c r="P60" s="558" t="str">
        <f t="shared" si="2"/>
        <v>INCLUDED</v>
      </c>
      <c r="Q60" s="516">
        <f t="shared" si="3"/>
        <v>0</v>
      </c>
      <c r="R60" s="452">
        <f t="shared" si="8"/>
        <v>0</v>
      </c>
      <c r="S60" s="642">
        <f>Discount!$J$36</f>
        <v>0</v>
      </c>
      <c r="T60" s="452">
        <f t="shared" si="9"/>
        <v>0</v>
      </c>
      <c r="U60" s="453">
        <f t="shared" si="6"/>
        <v>0</v>
      </c>
      <c r="V60" s="769">
        <f t="shared" si="7"/>
        <v>0</v>
      </c>
      <c r="W60" s="264"/>
      <c r="X60" s="264"/>
      <c r="Y60" s="264"/>
      <c r="Z60" s="264"/>
      <c r="AA60" s="264"/>
    </row>
    <row r="61" spans="1:27" ht="63">
      <c r="A61" s="746">
        <v>44</v>
      </c>
      <c r="B61" s="561">
        <v>7000016118</v>
      </c>
      <c r="C61" s="561">
        <v>640</v>
      </c>
      <c r="D61" s="561">
        <v>620</v>
      </c>
      <c r="E61" s="561">
        <v>10</v>
      </c>
      <c r="F61" s="561" t="s">
        <v>607</v>
      </c>
      <c r="G61" s="561">
        <v>100004518</v>
      </c>
      <c r="H61" s="561">
        <v>995433</v>
      </c>
      <c r="I61" s="562"/>
      <c r="J61" s="561">
        <v>18</v>
      </c>
      <c r="K61" s="560"/>
      <c r="L61" s="559" t="s">
        <v>509</v>
      </c>
      <c r="M61" s="561" t="s">
        <v>304</v>
      </c>
      <c r="N61" s="561">
        <v>1200</v>
      </c>
      <c r="O61" s="547"/>
      <c r="P61" s="558" t="str">
        <f t="shared" si="2"/>
        <v>INCLUDED</v>
      </c>
      <c r="Q61" s="516">
        <f t="shared" si="3"/>
        <v>0</v>
      </c>
      <c r="R61" s="452">
        <f t="shared" si="8"/>
        <v>0</v>
      </c>
      <c r="S61" s="642">
        <f>Discount!$J$36</f>
        <v>0</v>
      </c>
      <c r="T61" s="452">
        <f t="shared" si="9"/>
        <v>0</v>
      </c>
      <c r="U61" s="453">
        <f t="shared" si="6"/>
        <v>0</v>
      </c>
      <c r="V61" s="769">
        <f t="shared" si="7"/>
        <v>0</v>
      </c>
      <c r="W61" s="264"/>
      <c r="X61" s="264"/>
      <c r="Y61" s="264"/>
      <c r="Z61" s="264"/>
      <c r="AA61" s="264"/>
    </row>
    <row r="62" spans="1:27">
      <c r="A62" s="746">
        <v>45</v>
      </c>
      <c r="B62" s="561">
        <v>7000016118</v>
      </c>
      <c r="C62" s="561">
        <v>640</v>
      </c>
      <c r="D62" s="561">
        <v>620</v>
      </c>
      <c r="E62" s="561">
        <v>20</v>
      </c>
      <c r="F62" s="561" t="s">
        <v>607</v>
      </c>
      <c r="G62" s="561">
        <v>100001325</v>
      </c>
      <c r="H62" s="561">
        <v>995454</v>
      </c>
      <c r="I62" s="562"/>
      <c r="J62" s="561">
        <v>18</v>
      </c>
      <c r="K62" s="560"/>
      <c r="L62" s="559" t="s">
        <v>510</v>
      </c>
      <c r="M62" s="561" t="s">
        <v>304</v>
      </c>
      <c r="N62" s="561">
        <v>65</v>
      </c>
      <c r="O62" s="547"/>
      <c r="P62" s="558" t="str">
        <f t="shared" si="2"/>
        <v>INCLUDED</v>
      </c>
      <c r="Q62" s="516">
        <f t="shared" si="3"/>
        <v>0</v>
      </c>
      <c r="R62" s="452">
        <f t="shared" si="8"/>
        <v>0</v>
      </c>
      <c r="S62" s="642">
        <f>Discount!$J$36</f>
        <v>0</v>
      </c>
      <c r="T62" s="452">
        <f t="shared" si="9"/>
        <v>0</v>
      </c>
      <c r="U62" s="453">
        <f t="shared" si="6"/>
        <v>0</v>
      </c>
      <c r="V62" s="769">
        <f t="shared" si="7"/>
        <v>0</v>
      </c>
      <c r="W62" s="264"/>
      <c r="X62" s="264"/>
      <c r="Y62" s="264"/>
      <c r="Z62" s="264"/>
      <c r="AA62" s="264"/>
    </row>
    <row r="63" spans="1:27">
      <c r="A63" s="746">
        <v>46</v>
      </c>
      <c r="B63" s="561">
        <v>7000016118</v>
      </c>
      <c r="C63" s="561">
        <v>640</v>
      </c>
      <c r="D63" s="561">
        <v>620</v>
      </c>
      <c r="E63" s="561">
        <v>30</v>
      </c>
      <c r="F63" s="561" t="s">
        <v>607</v>
      </c>
      <c r="G63" s="561">
        <v>100001326</v>
      </c>
      <c r="H63" s="561">
        <v>995454</v>
      </c>
      <c r="I63" s="562"/>
      <c r="J63" s="561">
        <v>18</v>
      </c>
      <c r="K63" s="560"/>
      <c r="L63" s="559" t="s">
        <v>511</v>
      </c>
      <c r="M63" s="561" t="s">
        <v>304</v>
      </c>
      <c r="N63" s="561">
        <v>5</v>
      </c>
      <c r="O63" s="547"/>
      <c r="P63" s="558" t="str">
        <f t="shared" si="2"/>
        <v>INCLUDED</v>
      </c>
      <c r="Q63" s="516">
        <f t="shared" si="3"/>
        <v>0</v>
      </c>
      <c r="R63" s="452">
        <f t="shared" si="8"/>
        <v>0</v>
      </c>
      <c r="S63" s="642">
        <f>Discount!$J$36</f>
        <v>0</v>
      </c>
      <c r="T63" s="452">
        <f t="shared" si="9"/>
        <v>0</v>
      </c>
      <c r="U63" s="453">
        <f t="shared" si="6"/>
        <v>0</v>
      </c>
      <c r="V63" s="769">
        <f t="shared" si="7"/>
        <v>0</v>
      </c>
      <c r="W63" s="264"/>
      <c r="X63" s="264"/>
      <c r="Y63" s="264"/>
      <c r="Z63" s="264"/>
      <c r="AA63" s="264"/>
    </row>
    <row r="64" spans="1:27" ht="47.25">
      <c r="A64" s="746">
        <v>47</v>
      </c>
      <c r="B64" s="561">
        <v>7000016118</v>
      </c>
      <c r="C64" s="561">
        <v>640</v>
      </c>
      <c r="D64" s="561">
        <v>620</v>
      </c>
      <c r="E64" s="561">
        <v>40</v>
      </c>
      <c r="F64" s="561" t="s">
        <v>607</v>
      </c>
      <c r="G64" s="561">
        <v>100001327</v>
      </c>
      <c r="H64" s="561">
        <v>995454</v>
      </c>
      <c r="I64" s="562"/>
      <c r="J64" s="561">
        <v>18</v>
      </c>
      <c r="K64" s="560"/>
      <c r="L64" s="559" t="s">
        <v>512</v>
      </c>
      <c r="M64" s="561" t="s">
        <v>304</v>
      </c>
      <c r="N64" s="561">
        <v>500</v>
      </c>
      <c r="O64" s="547"/>
      <c r="P64" s="558" t="str">
        <f t="shared" si="2"/>
        <v>INCLUDED</v>
      </c>
      <c r="Q64" s="516">
        <f t="shared" si="3"/>
        <v>0</v>
      </c>
      <c r="R64" s="452">
        <f t="shared" si="8"/>
        <v>0</v>
      </c>
      <c r="S64" s="642">
        <f>Discount!$J$36</f>
        <v>0</v>
      </c>
      <c r="T64" s="452">
        <f t="shared" si="9"/>
        <v>0</v>
      </c>
      <c r="U64" s="453">
        <f t="shared" si="6"/>
        <v>0</v>
      </c>
      <c r="V64" s="769">
        <f t="shared" si="7"/>
        <v>0</v>
      </c>
      <c r="W64" s="264"/>
      <c r="X64" s="264"/>
      <c r="Y64" s="264"/>
      <c r="Z64" s="264"/>
      <c r="AA64" s="264"/>
    </row>
    <row r="65" spans="1:27" ht="31.5">
      <c r="A65" s="746">
        <v>48</v>
      </c>
      <c r="B65" s="561">
        <v>7000016118</v>
      </c>
      <c r="C65" s="561">
        <v>640</v>
      </c>
      <c r="D65" s="561">
        <v>620</v>
      </c>
      <c r="E65" s="561">
        <v>50</v>
      </c>
      <c r="F65" s="561" t="s">
        <v>607</v>
      </c>
      <c r="G65" s="561">
        <v>100001328</v>
      </c>
      <c r="H65" s="561">
        <v>995454</v>
      </c>
      <c r="I65" s="562"/>
      <c r="J65" s="561">
        <v>18</v>
      </c>
      <c r="K65" s="560"/>
      <c r="L65" s="559" t="s">
        <v>542</v>
      </c>
      <c r="M65" s="561" t="s">
        <v>304</v>
      </c>
      <c r="N65" s="561">
        <v>265</v>
      </c>
      <c r="O65" s="547"/>
      <c r="P65" s="558" t="str">
        <f t="shared" si="2"/>
        <v>INCLUDED</v>
      </c>
      <c r="Q65" s="516">
        <f t="shared" si="3"/>
        <v>0</v>
      </c>
      <c r="R65" s="452">
        <f t="shared" si="8"/>
        <v>0</v>
      </c>
      <c r="S65" s="642">
        <f>Discount!$J$36</f>
        <v>0</v>
      </c>
      <c r="T65" s="452">
        <f t="shared" si="9"/>
        <v>0</v>
      </c>
      <c r="U65" s="453">
        <f t="shared" si="6"/>
        <v>0</v>
      </c>
      <c r="V65" s="769">
        <f t="shared" si="7"/>
        <v>0</v>
      </c>
      <c r="W65" s="264"/>
      <c r="X65" s="264"/>
      <c r="Y65" s="264"/>
      <c r="Z65" s="264"/>
      <c r="AA65" s="264"/>
    </row>
    <row r="66" spans="1:27" ht="99.75" customHeight="1">
      <c r="A66" s="746">
        <v>49</v>
      </c>
      <c r="B66" s="561">
        <v>7000016118</v>
      </c>
      <c r="C66" s="561">
        <v>640</v>
      </c>
      <c r="D66" s="561">
        <v>620</v>
      </c>
      <c r="E66" s="561">
        <v>60</v>
      </c>
      <c r="F66" s="561" t="s">
        <v>607</v>
      </c>
      <c r="G66" s="561">
        <v>100001329</v>
      </c>
      <c r="H66" s="561">
        <v>995454</v>
      </c>
      <c r="I66" s="562"/>
      <c r="J66" s="561">
        <v>18</v>
      </c>
      <c r="K66" s="560"/>
      <c r="L66" s="559" t="s">
        <v>513</v>
      </c>
      <c r="M66" s="561" t="s">
        <v>300</v>
      </c>
      <c r="N66" s="561">
        <v>40</v>
      </c>
      <c r="O66" s="547"/>
      <c r="P66" s="558" t="str">
        <f t="shared" si="2"/>
        <v>INCLUDED</v>
      </c>
      <c r="Q66" s="516">
        <f t="shared" si="3"/>
        <v>0</v>
      </c>
      <c r="R66" s="452">
        <f t="shared" si="8"/>
        <v>0</v>
      </c>
      <c r="S66" s="642">
        <f>Discount!$J$36</f>
        <v>0</v>
      </c>
      <c r="T66" s="452">
        <f t="shared" si="9"/>
        <v>0</v>
      </c>
      <c r="U66" s="453">
        <f t="shared" si="6"/>
        <v>0</v>
      </c>
      <c r="V66" s="769">
        <f t="shared" si="7"/>
        <v>0</v>
      </c>
      <c r="W66" s="264"/>
      <c r="X66" s="264"/>
      <c r="Y66" s="264"/>
      <c r="Z66" s="264"/>
      <c r="AA66" s="264"/>
    </row>
    <row r="67" spans="1:27">
      <c r="A67" s="746">
        <v>50</v>
      </c>
      <c r="B67" s="561">
        <v>7000016118</v>
      </c>
      <c r="C67" s="561">
        <v>640</v>
      </c>
      <c r="D67" s="561">
        <v>620</v>
      </c>
      <c r="E67" s="561">
        <v>70</v>
      </c>
      <c r="F67" s="561" t="s">
        <v>607</v>
      </c>
      <c r="G67" s="561">
        <v>100001330</v>
      </c>
      <c r="H67" s="561">
        <v>995428</v>
      </c>
      <c r="I67" s="562"/>
      <c r="J67" s="561">
        <v>18</v>
      </c>
      <c r="K67" s="560"/>
      <c r="L67" s="559" t="s">
        <v>514</v>
      </c>
      <c r="M67" s="561" t="s">
        <v>304</v>
      </c>
      <c r="N67" s="561">
        <v>25</v>
      </c>
      <c r="O67" s="547"/>
      <c r="P67" s="558" t="str">
        <f t="shared" si="2"/>
        <v>INCLUDED</v>
      </c>
      <c r="Q67" s="516">
        <f t="shared" si="3"/>
        <v>0</v>
      </c>
      <c r="R67" s="452">
        <f t="shared" si="8"/>
        <v>0</v>
      </c>
      <c r="S67" s="642">
        <f>Discount!$J$36</f>
        <v>0</v>
      </c>
      <c r="T67" s="452">
        <f t="shared" si="9"/>
        <v>0</v>
      </c>
      <c r="U67" s="453">
        <f t="shared" si="6"/>
        <v>0</v>
      </c>
      <c r="V67" s="769">
        <f t="shared" si="7"/>
        <v>0</v>
      </c>
      <c r="W67" s="264"/>
      <c r="X67" s="264"/>
      <c r="Y67" s="264"/>
      <c r="Z67" s="264"/>
      <c r="AA67" s="264"/>
    </row>
    <row r="68" spans="1:27" ht="47.25">
      <c r="A68" s="746">
        <v>51</v>
      </c>
      <c r="B68" s="561">
        <v>7000016118</v>
      </c>
      <c r="C68" s="561">
        <v>640</v>
      </c>
      <c r="D68" s="561">
        <v>620</v>
      </c>
      <c r="E68" s="561">
        <v>80</v>
      </c>
      <c r="F68" s="561" t="s">
        <v>607</v>
      </c>
      <c r="G68" s="561">
        <v>100001331</v>
      </c>
      <c r="H68" s="561">
        <v>995455</v>
      </c>
      <c r="I68" s="562"/>
      <c r="J68" s="561">
        <v>18</v>
      </c>
      <c r="K68" s="560"/>
      <c r="L68" s="559" t="s">
        <v>515</v>
      </c>
      <c r="M68" s="561" t="s">
        <v>300</v>
      </c>
      <c r="N68" s="561">
        <v>20</v>
      </c>
      <c r="O68" s="547"/>
      <c r="P68" s="558" t="str">
        <f t="shared" si="2"/>
        <v>INCLUDED</v>
      </c>
      <c r="Q68" s="516">
        <f t="shared" si="3"/>
        <v>0</v>
      </c>
      <c r="R68" s="452">
        <f t="shared" si="8"/>
        <v>0</v>
      </c>
      <c r="S68" s="642">
        <f>Discount!$J$36</f>
        <v>0</v>
      </c>
      <c r="T68" s="452">
        <f t="shared" si="9"/>
        <v>0</v>
      </c>
      <c r="U68" s="453">
        <f t="shared" si="6"/>
        <v>0</v>
      </c>
      <c r="V68" s="769">
        <f t="shared" si="7"/>
        <v>0</v>
      </c>
      <c r="W68" s="264"/>
      <c r="X68" s="264"/>
      <c r="Y68" s="264"/>
      <c r="Z68" s="264"/>
      <c r="AA68" s="264"/>
    </row>
    <row r="69" spans="1:27">
      <c r="A69" s="746">
        <v>52</v>
      </c>
      <c r="B69" s="561">
        <v>7000016118</v>
      </c>
      <c r="C69" s="561">
        <v>640</v>
      </c>
      <c r="D69" s="561">
        <v>620</v>
      </c>
      <c r="E69" s="561">
        <v>90</v>
      </c>
      <c r="F69" s="561" t="s">
        <v>607</v>
      </c>
      <c r="G69" s="561">
        <v>100001714</v>
      </c>
      <c r="H69" s="561">
        <v>995428</v>
      </c>
      <c r="I69" s="562"/>
      <c r="J69" s="561">
        <v>18</v>
      </c>
      <c r="K69" s="560"/>
      <c r="L69" s="559" t="s">
        <v>516</v>
      </c>
      <c r="M69" s="561" t="s">
        <v>479</v>
      </c>
      <c r="N69" s="561">
        <v>2500</v>
      </c>
      <c r="O69" s="547"/>
      <c r="P69" s="558" t="str">
        <f t="shared" si="2"/>
        <v>INCLUDED</v>
      </c>
      <c r="Q69" s="516">
        <f t="shared" si="3"/>
        <v>0</v>
      </c>
      <c r="R69" s="452">
        <f t="shared" si="8"/>
        <v>0</v>
      </c>
      <c r="S69" s="642">
        <f>Discount!$J$36</f>
        <v>0</v>
      </c>
      <c r="T69" s="452">
        <f t="shared" si="9"/>
        <v>0</v>
      </c>
      <c r="U69" s="453">
        <f t="shared" si="6"/>
        <v>0</v>
      </c>
      <c r="V69" s="769">
        <f t="shared" si="7"/>
        <v>0</v>
      </c>
      <c r="W69" s="264"/>
      <c r="X69" s="264"/>
      <c r="Y69" s="264"/>
      <c r="Z69" s="264"/>
      <c r="AA69" s="264"/>
    </row>
    <row r="70" spans="1:27">
      <c r="A70" s="746">
        <v>53</v>
      </c>
      <c r="B70" s="561">
        <v>7000016118</v>
      </c>
      <c r="C70" s="561">
        <v>640</v>
      </c>
      <c r="D70" s="561">
        <v>620</v>
      </c>
      <c r="E70" s="561">
        <v>100</v>
      </c>
      <c r="F70" s="561" t="s">
        <v>607</v>
      </c>
      <c r="G70" s="561">
        <v>100001713</v>
      </c>
      <c r="H70" s="561">
        <v>995424</v>
      </c>
      <c r="I70" s="562"/>
      <c r="J70" s="561">
        <v>18</v>
      </c>
      <c r="K70" s="560"/>
      <c r="L70" s="559" t="s">
        <v>517</v>
      </c>
      <c r="M70" s="561" t="s">
        <v>479</v>
      </c>
      <c r="N70" s="561">
        <v>1000</v>
      </c>
      <c r="O70" s="547"/>
      <c r="P70" s="558" t="str">
        <f t="shared" si="2"/>
        <v>INCLUDED</v>
      </c>
      <c r="Q70" s="516">
        <f t="shared" si="3"/>
        <v>0</v>
      </c>
      <c r="R70" s="452">
        <f t="shared" si="8"/>
        <v>0</v>
      </c>
      <c r="S70" s="642">
        <f>Discount!$J$36</f>
        <v>0</v>
      </c>
      <c r="T70" s="452">
        <f t="shared" si="9"/>
        <v>0</v>
      </c>
      <c r="U70" s="453">
        <f t="shared" si="6"/>
        <v>0</v>
      </c>
      <c r="V70" s="769">
        <f t="shared" si="7"/>
        <v>0</v>
      </c>
      <c r="W70" s="264"/>
      <c r="X70" s="264"/>
      <c r="Y70" s="264"/>
      <c r="Z70" s="264"/>
      <c r="AA70" s="264"/>
    </row>
    <row r="71" spans="1:27" ht="31.5">
      <c r="A71" s="746">
        <v>54</v>
      </c>
      <c r="B71" s="561">
        <v>7000016118</v>
      </c>
      <c r="C71" s="561">
        <v>640</v>
      </c>
      <c r="D71" s="561">
        <v>620</v>
      </c>
      <c r="E71" s="561">
        <v>110</v>
      </c>
      <c r="F71" s="561" t="s">
        <v>607</v>
      </c>
      <c r="G71" s="561">
        <v>100001712</v>
      </c>
      <c r="H71" s="561">
        <v>995428</v>
      </c>
      <c r="I71" s="562"/>
      <c r="J71" s="561">
        <v>18</v>
      </c>
      <c r="K71" s="560"/>
      <c r="L71" s="559" t="s">
        <v>523</v>
      </c>
      <c r="M71" s="561" t="s">
        <v>479</v>
      </c>
      <c r="N71" s="561">
        <v>1000</v>
      </c>
      <c r="O71" s="547"/>
      <c r="P71" s="558" t="str">
        <f t="shared" si="2"/>
        <v>INCLUDED</v>
      </c>
      <c r="Q71" s="516">
        <f t="shared" si="3"/>
        <v>0</v>
      </c>
      <c r="R71" s="452">
        <f t="shared" si="8"/>
        <v>0</v>
      </c>
      <c r="S71" s="642">
        <f>Discount!$J$36</f>
        <v>0</v>
      </c>
      <c r="T71" s="452">
        <f t="shared" si="9"/>
        <v>0</v>
      </c>
      <c r="U71" s="453">
        <f t="shared" si="6"/>
        <v>0</v>
      </c>
      <c r="V71" s="769">
        <f t="shared" si="7"/>
        <v>0</v>
      </c>
      <c r="W71" s="264"/>
      <c r="X71" s="264"/>
      <c r="Y71" s="264"/>
      <c r="Z71" s="264"/>
      <c r="AA71" s="264"/>
    </row>
    <row r="72" spans="1:27" ht="31.5">
      <c r="A72" s="746">
        <v>55</v>
      </c>
      <c r="B72" s="561">
        <v>7000016118</v>
      </c>
      <c r="C72" s="561">
        <v>640</v>
      </c>
      <c r="D72" s="561">
        <v>620</v>
      </c>
      <c r="E72" s="561">
        <v>120</v>
      </c>
      <c r="F72" s="561" t="s">
        <v>607</v>
      </c>
      <c r="G72" s="561">
        <v>100003114</v>
      </c>
      <c r="H72" s="561">
        <v>995454</v>
      </c>
      <c r="I72" s="562"/>
      <c r="J72" s="561">
        <v>18</v>
      </c>
      <c r="K72" s="560"/>
      <c r="L72" s="559" t="s">
        <v>543</v>
      </c>
      <c r="M72" s="561" t="s">
        <v>479</v>
      </c>
      <c r="N72" s="561">
        <v>240</v>
      </c>
      <c r="O72" s="547"/>
      <c r="P72" s="558" t="str">
        <f t="shared" si="2"/>
        <v>INCLUDED</v>
      </c>
      <c r="Q72" s="516">
        <f t="shared" si="3"/>
        <v>0</v>
      </c>
      <c r="R72" s="452">
        <f t="shared" si="8"/>
        <v>0</v>
      </c>
      <c r="S72" s="642">
        <f>Discount!$J$36</f>
        <v>0</v>
      </c>
      <c r="T72" s="452">
        <f t="shared" si="9"/>
        <v>0</v>
      </c>
      <c r="U72" s="453">
        <f t="shared" si="6"/>
        <v>0</v>
      </c>
      <c r="V72" s="769">
        <f t="shared" si="7"/>
        <v>0</v>
      </c>
      <c r="W72" s="264"/>
      <c r="X72" s="264"/>
      <c r="Y72" s="264"/>
      <c r="Z72" s="264"/>
      <c r="AA72" s="264"/>
    </row>
    <row r="73" spans="1:27" ht="53.25" customHeight="1">
      <c r="A73" s="746">
        <v>56</v>
      </c>
      <c r="B73" s="561">
        <v>7000016118</v>
      </c>
      <c r="C73" s="561">
        <v>640</v>
      </c>
      <c r="D73" s="561">
        <v>620</v>
      </c>
      <c r="E73" s="561">
        <v>130</v>
      </c>
      <c r="F73" s="561" t="s">
        <v>607</v>
      </c>
      <c r="G73" s="561">
        <v>130000760</v>
      </c>
      <c r="H73" s="561">
        <v>995428</v>
      </c>
      <c r="I73" s="562"/>
      <c r="J73" s="561">
        <v>18</v>
      </c>
      <c r="K73" s="560"/>
      <c r="L73" s="559" t="s">
        <v>625</v>
      </c>
      <c r="M73" s="561" t="s">
        <v>478</v>
      </c>
      <c r="N73" s="561">
        <v>40</v>
      </c>
      <c r="O73" s="547"/>
      <c r="P73" s="558" t="str">
        <f t="shared" si="2"/>
        <v>INCLUDED</v>
      </c>
      <c r="Q73" s="516">
        <f t="shared" si="3"/>
        <v>0</v>
      </c>
      <c r="R73" s="452">
        <f t="shared" si="8"/>
        <v>0</v>
      </c>
      <c r="S73" s="642">
        <f>Discount!$J$36</f>
        <v>0</v>
      </c>
      <c r="T73" s="452">
        <f t="shared" si="9"/>
        <v>0</v>
      </c>
      <c r="U73" s="453">
        <f t="shared" si="6"/>
        <v>0</v>
      </c>
      <c r="V73" s="769">
        <f t="shared" si="7"/>
        <v>0</v>
      </c>
      <c r="W73" s="264"/>
      <c r="X73" s="264"/>
      <c r="Y73" s="264"/>
      <c r="Z73" s="264"/>
      <c r="AA73" s="264"/>
    </row>
    <row r="74" spans="1:27" ht="51" customHeight="1">
      <c r="A74" s="746">
        <v>57</v>
      </c>
      <c r="B74" s="561">
        <v>7000016118</v>
      </c>
      <c r="C74" s="561">
        <v>640</v>
      </c>
      <c r="D74" s="561">
        <v>620</v>
      </c>
      <c r="E74" s="561">
        <v>140</v>
      </c>
      <c r="F74" s="561" t="s">
        <v>607</v>
      </c>
      <c r="G74" s="561">
        <v>130000762</v>
      </c>
      <c r="H74" s="561">
        <v>995428</v>
      </c>
      <c r="I74" s="562"/>
      <c r="J74" s="561">
        <v>18</v>
      </c>
      <c r="K74" s="560"/>
      <c r="L74" s="559" t="s">
        <v>544</v>
      </c>
      <c r="M74" s="561" t="s">
        <v>478</v>
      </c>
      <c r="N74" s="561">
        <v>20</v>
      </c>
      <c r="O74" s="547"/>
      <c r="P74" s="558" t="str">
        <f t="shared" si="2"/>
        <v>INCLUDED</v>
      </c>
      <c r="Q74" s="516">
        <f t="shared" si="3"/>
        <v>0</v>
      </c>
      <c r="R74" s="452">
        <f t="shared" si="8"/>
        <v>0</v>
      </c>
      <c r="S74" s="642">
        <f>Discount!$J$36</f>
        <v>0</v>
      </c>
      <c r="T74" s="452">
        <f t="shared" si="9"/>
        <v>0</v>
      </c>
      <c r="U74" s="453">
        <f t="shared" si="6"/>
        <v>0</v>
      </c>
      <c r="V74" s="769">
        <f t="shared" si="7"/>
        <v>0</v>
      </c>
      <c r="W74" s="264"/>
      <c r="X74" s="264"/>
      <c r="Y74" s="264"/>
      <c r="Z74" s="264"/>
      <c r="AA74" s="264"/>
    </row>
    <row r="75" spans="1:27" ht="51.75" customHeight="1">
      <c r="A75" s="746">
        <v>58</v>
      </c>
      <c r="B75" s="561">
        <v>7000016118</v>
      </c>
      <c r="C75" s="561">
        <v>640</v>
      </c>
      <c r="D75" s="561">
        <v>620</v>
      </c>
      <c r="E75" s="561">
        <v>150</v>
      </c>
      <c r="F75" s="561" t="s">
        <v>607</v>
      </c>
      <c r="G75" s="561">
        <v>100001735</v>
      </c>
      <c r="H75" s="561">
        <v>995462</v>
      </c>
      <c r="I75" s="562"/>
      <c r="J75" s="561">
        <v>18</v>
      </c>
      <c r="K75" s="560"/>
      <c r="L75" s="559" t="s">
        <v>518</v>
      </c>
      <c r="M75" s="561" t="s">
        <v>478</v>
      </c>
      <c r="N75" s="561">
        <v>15</v>
      </c>
      <c r="O75" s="547"/>
      <c r="P75" s="558" t="str">
        <f t="shared" si="2"/>
        <v>INCLUDED</v>
      </c>
      <c r="Q75" s="516">
        <f t="shared" si="3"/>
        <v>0</v>
      </c>
      <c r="R75" s="452">
        <f t="shared" si="8"/>
        <v>0</v>
      </c>
      <c r="S75" s="642">
        <f>Discount!$J$36</f>
        <v>0</v>
      </c>
      <c r="T75" s="452">
        <f t="shared" si="9"/>
        <v>0</v>
      </c>
      <c r="U75" s="453">
        <f t="shared" si="6"/>
        <v>0</v>
      </c>
      <c r="V75" s="769">
        <f t="shared" si="7"/>
        <v>0</v>
      </c>
      <c r="W75" s="264"/>
      <c r="X75" s="264"/>
      <c r="Y75" s="264"/>
      <c r="Z75" s="264"/>
      <c r="AA75" s="264"/>
    </row>
    <row r="76" spans="1:27" ht="47.25">
      <c r="A76" s="746">
        <v>59</v>
      </c>
      <c r="B76" s="561">
        <v>7000016118</v>
      </c>
      <c r="C76" s="561">
        <v>640</v>
      </c>
      <c r="D76" s="561">
        <v>620</v>
      </c>
      <c r="E76" s="561">
        <v>160</v>
      </c>
      <c r="F76" s="561" t="s">
        <v>607</v>
      </c>
      <c r="G76" s="561">
        <v>100001736</v>
      </c>
      <c r="H76" s="561">
        <v>995462</v>
      </c>
      <c r="I76" s="562"/>
      <c r="J76" s="561">
        <v>18</v>
      </c>
      <c r="K76" s="560"/>
      <c r="L76" s="559" t="s">
        <v>519</v>
      </c>
      <c r="M76" s="561" t="s">
        <v>478</v>
      </c>
      <c r="N76" s="561">
        <v>15</v>
      </c>
      <c r="O76" s="547"/>
      <c r="P76" s="558" t="str">
        <f t="shared" si="2"/>
        <v>INCLUDED</v>
      </c>
      <c r="Q76" s="516">
        <f t="shared" si="3"/>
        <v>0</v>
      </c>
      <c r="R76" s="452">
        <f t="shared" si="8"/>
        <v>0</v>
      </c>
      <c r="S76" s="642">
        <f>Discount!$J$36</f>
        <v>0</v>
      </c>
      <c r="T76" s="452">
        <f t="shared" si="9"/>
        <v>0</v>
      </c>
      <c r="U76" s="453">
        <f t="shared" si="6"/>
        <v>0</v>
      </c>
      <c r="V76" s="769">
        <f t="shared" si="7"/>
        <v>0</v>
      </c>
      <c r="W76" s="264"/>
      <c r="X76" s="264"/>
      <c r="Y76" s="264"/>
      <c r="Z76" s="264"/>
      <c r="AA76" s="264"/>
    </row>
    <row r="77" spans="1:27" ht="47.25">
      <c r="A77" s="746">
        <v>60</v>
      </c>
      <c r="B77" s="561">
        <v>7000016118</v>
      </c>
      <c r="C77" s="561">
        <v>640</v>
      </c>
      <c r="D77" s="561">
        <v>620</v>
      </c>
      <c r="E77" s="561">
        <v>170</v>
      </c>
      <c r="F77" s="561" t="s">
        <v>607</v>
      </c>
      <c r="G77" s="561">
        <v>100001737</v>
      </c>
      <c r="H77" s="561">
        <v>995462</v>
      </c>
      <c r="I77" s="562"/>
      <c r="J77" s="561">
        <v>18</v>
      </c>
      <c r="K77" s="560"/>
      <c r="L77" s="559" t="s">
        <v>520</v>
      </c>
      <c r="M77" s="561" t="s">
        <v>478</v>
      </c>
      <c r="N77" s="561">
        <v>15</v>
      </c>
      <c r="O77" s="547"/>
      <c r="P77" s="558" t="str">
        <f t="shared" si="2"/>
        <v>INCLUDED</v>
      </c>
      <c r="Q77" s="516">
        <f t="shared" si="3"/>
        <v>0</v>
      </c>
      <c r="R77" s="452">
        <f t="shared" si="8"/>
        <v>0</v>
      </c>
      <c r="S77" s="642">
        <f>Discount!$J$36</f>
        <v>0</v>
      </c>
      <c r="T77" s="452">
        <f t="shared" si="9"/>
        <v>0</v>
      </c>
      <c r="U77" s="453">
        <f t="shared" si="6"/>
        <v>0</v>
      </c>
      <c r="V77" s="769">
        <f t="shared" si="7"/>
        <v>0</v>
      </c>
      <c r="W77" s="264"/>
      <c r="X77" s="264"/>
      <c r="Y77" s="264"/>
      <c r="Z77" s="264"/>
      <c r="AA77" s="264"/>
    </row>
    <row r="78" spans="1:27">
      <c r="A78" s="746">
        <v>61</v>
      </c>
      <c r="B78" s="561">
        <v>7000016118</v>
      </c>
      <c r="C78" s="561">
        <v>640</v>
      </c>
      <c r="D78" s="561">
        <v>620</v>
      </c>
      <c r="E78" s="561">
        <v>180</v>
      </c>
      <c r="F78" s="561" t="s">
        <v>607</v>
      </c>
      <c r="G78" s="561">
        <v>100007701</v>
      </c>
      <c r="H78" s="561">
        <v>995462</v>
      </c>
      <c r="I78" s="562"/>
      <c r="J78" s="561">
        <v>18</v>
      </c>
      <c r="K78" s="560"/>
      <c r="L78" s="559" t="s">
        <v>626</v>
      </c>
      <c r="M78" s="561" t="s">
        <v>301</v>
      </c>
      <c r="N78" s="561">
        <v>1</v>
      </c>
      <c r="O78" s="547"/>
      <c r="P78" s="558" t="str">
        <f t="shared" si="2"/>
        <v>INCLUDED</v>
      </c>
      <c r="Q78" s="516">
        <f t="shared" si="3"/>
        <v>0</v>
      </c>
      <c r="R78" s="452">
        <f t="shared" si="8"/>
        <v>0</v>
      </c>
      <c r="S78" s="642">
        <f>Discount!$J$36</f>
        <v>0</v>
      </c>
      <c r="T78" s="452">
        <f t="shared" si="9"/>
        <v>0</v>
      </c>
      <c r="U78" s="453">
        <f t="shared" si="6"/>
        <v>0</v>
      </c>
      <c r="V78" s="769">
        <f t="shared" si="7"/>
        <v>0</v>
      </c>
      <c r="W78" s="264"/>
      <c r="X78" s="264"/>
      <c r="Y78" s="264"/>
      <c r="Z78" s="264"/>
      <c r="AA78" s="264"/>
    </row>
    <row r="79" spans="1:27" ht="31.5">
      <c r="A79" s="746">
        <v>62</v>
      </c>
      <c r="B79" s="561">
        <v>7000016118</v>
      </c>
      <c r="C79" s="561">
        <v>640</v>
      </c>
      <c r="D79" s="561">
        <v>620</v>
      </c>
      <c r="E79" s="561">
        <v>190</v>
      </c>
      <c r="F79" s="561" t="s">
        <v>607</v>
      </c>
      <c r="G79" s="561">
        <v>100001412</v>
      </c>
      <c r="H79" s="561">
        <v>995462</v>
      </c>
      <c r="I79" s="562"/>
      <c r="J79" s="561">
        <v>18</v>
      </c>
      <c r="K79" s="560"/>
      <c r="L79" s="559" t="s">
        <v>521</v>
      </c>
      <c r="M79" s="561" t="s">
        <v>478</v>
      </c>
      <c r="N79" s="561">
        <v>25</v>
      </c>
      <c r="O79" s="547"/>
      <c r="P79" s="558" t="str">
        <f t="shared" si="2"/>
        <v>INCLUDED</v>
      </c>
      <c r="Q79" s="516">
        <f t="shared" si="3"/>
        <v>0</v>
      </c>
      <c r="R79" s="452">
        <f t="shared" si="8"/>
        <v>0</v>
      </c>
      <c r="S79" s="642">
        <f>Discount!$J$36</f>
        <v>0</v>
      </c>
      <c r="T79" s="452">
        <f t="shared" si="9"/>
        <v>0</v>
      </c>
      <c r="U79" s="453">
        <f t="shared" si="6"/>
        <v>0</v>
      </c>
      <c r="V79" s="769">
        <f t="shared" si="7"/>
        <v>0</v>
      </c>
      <c r="W79" s="264"/>
      <c r="X79" s="264"/>
      <c r="Y79" s="264"/>
      <c r="Z79" s="264"/>
      <c r="AA79" s="264"/>
    </row>
    <row r="80" spans="1:27" ht="31.5">
      <c r="A80" s="746">
        <v>63</v>
      </c>
      <c r="B80" s="561">
        <v>7000016118</v>
      </c>
      <c r="C80" s="561">
        <v>640</v>
      </c>
      <c r="D80" s="561">
        <v>620</v>
      </c>
      <c r="E80" s="561">
        <v>200</v>
      </c>
      <c r="F80" s="561" t="s">
        <v>607</v>
      </c>
      <c r="G80" s="561">
        <v>100001413</v>
      </c>
      <c r="H80" s="561">
        <v>995462</v>
      </c>
      <c r="I80" s="562"/>
      <c r="J80" s="561">
        <v>18</v>
      </c>
      <c r="K80" s="560"/>
      <c r="L80" s="559" t="s">
        <v>522</v>
      </c>
      <c r="M80" s="561" t="s">
        <v>478</v>
      </c>
      <c r="N80" s="561">
        <v>25</v>
      </c>
      <c r="O80" s="547"/>
      <c r="P80" s="558" t="str">
        <f t="shared" si="2"/>
        <v>INCLUDED</v>
      </c>
      <c r="Q80" s="516">
        <f t="shared" si="3"/>
        <v>0</v>
      </c>
      <c r="R80" s="452">
        <f t="shared" si="8"/>
        <v>0</v>
      </c>
      <c r="S80" s="642">
        <f>Discount!$J$36</f>
        <v>0</v>
      </c>
      <c r="T80" s="452">
        <f t="shared" si="9"/>
        <v>0</v>
      </c>
      <c r="U80" s="453">
        <f t="shared" si="6"/>
        <v>0</v>
      </c>
      <c r="V80" s="769">
        <f t="shared" si="7"/>
        <v>0</v>
      </c>
      <c r="W80" s="264"/>
      <c r="X80" s="264"/>
      <c r="Y80" s="264"/>
      <c r="Z80" s="264"/>
      <c r="AA80" s="264"/>
    </row>
    <row r="81" spans="1:27" ht="267.75">
      <c r="A81" s="746">
        <v>64</v>
      </c>
      <c r="B81" s="561">
        <v>7000016118</v>
      </c>
      <c r="C81" s="561">
        <v>640</v>
      </c>
      <c r="D81" s="561">
        <v>620</v>
      </c>
      <c r="E81" s="561">
        <v>210</v>
      </c>
      <c r="F81" s="561" t="s">
        <v>607</v>
      </c>
      <c r="G81" s="561">
        <v>100002911</v>
      </c>
      <c r="H81" s="561">
        <v>995432</v>
      </c>
      <c r="I81" s="562"/>
      <c r="J81" s="561">
        <v>18</v>
      </c>
      <c r="K81" s="560"/>
      <c r="L81" s="559" t="s">
        <v>538</v>
      </c>
      <c r="M81" s="561" t="s">
        <v>304</v>
      </c>
      <c r="N81" s="561">
        <v>500</v>
      </c>
      <c r="O81" s="547"/>
      <c r="P81" s="558" t="str">
        <f t="shared" si="2"/>
        <v>INCLUDED</v>
      </c>
      <c r="Q81" s="516">
        <f t="shared" si="3"/>
        <v>0</v>
      </c>
      <c r="R81" s="452">
        <f t="shared" si="8"/>
        <v>0</v>
      </c>
      <c r="S81" s="642">
        <f>Discount!$J$36</f>
        <v>0</v>
      </c>
      <c r="T81" s="452">
        <f t="shared" si="9"/>
        <v>0</v>
      </c>
      <c r="U81" s="453">
        <f t="shared" si="6"/>
        <v>0</v>
      </c>
      <c r="V81" s="769">
        <f t="shared" si="7"/>
        <v>0</v>
      </c>
      <c r="W81" s="264"/>
      <c r="X81" s="264"/>
      <c r="Y81" s="264"/>
      <c r="Z81" s="264"/>
      <c r="AA81" s="264"/>
    </row>
    <row r="82" spans="1:27" ht="126">
      <c r="A82" s="746">
        <v>65</v>
      </c>
      <c r="B82" s="561">
        <v>7000016118</v>
      </c>
      <c r="C82" s="561">
        <v>640</v>
      </c>
      <c r="D82" s="561">
        <v>620</v>
      </c>
      <c r="E82" s="561">
        <v>220</v>
      </c>
      <c r="F82" s="561" t="s">
        <v>607</v>
      </c>
      <c r="G82" s="561">
        <v>100002583</v>
      </c>
      <c r="H82" s="561">
        <v>995432</v>
      </c>
      <c r="I82" s="562"/>
      <c r="J82" s="561">
        <v>18</v>
      </c>
      <c r="K82" s="560"/>
      <c r="L82" s="559" t="s">
        <v>539</v>
      </c>
      <c r="M82" s="561" t="s">
        <v>304</v>
      </c>
      <c r="N82" s="561">
        <v>300</v>
      </c>
      <c r="O82" s="547"/>
      <c r="P82" s="558" t="str">
        <f t="shared" si="2"/>
        <v>INCLUDED</v>
      </c>
      <c r="Q82" s="516">
        <f t="shared" si="3"/>
        <v>0</v>
      </c>
      <c r="R82" s="452">
        <f t="shared" si="8"/>
        <v>0</v>
      </c>
      <c r="S82" s="642">
        <f>Discount!$J$36</f>
        <v>0</v>
      </c>
      <c r="T82" s="452">
        <f t="shared" si="9"/>
        <v>0</v>
      </c>
      <c r="U82" s="453">
        <f t="shared" si="6"/>
        <v>0</v>
      </c>
      <c r="V82" s="769">
        <f t="shared" si="7"/>
        <v>0</v>
      </c>
      <c r="W82" s="264"/>
      <c r="X82" s="264"/>
      <c r="Y82" s="264"/>
      <c r="Z82" s="264"/>
      <c r="AA82" s="264"/>
    </row>
    <row r="83" spans="1:27" ht="78.75">
      <c r="A83" s="746">
        <v>66</v>
      </c>
      <c r="B83" s="561">
        <v>7000016118</v>
      </c>
      <c r="C83" s="561">
        <v>640</v>
      </c>
      <c r="D83" s="561">
        <v>620</v>
      </c>
      <c r="E83" s="561">
        <v>230</v>
      </c>
      <c r="F83" s="561" t="s">
        <v>607</v>
      </c>
      <c r="G83" s="561">
        <v>120001729</v>
      </c>
      <c r="H83" s="561">
        <v>995419</v>
      </c>
      <c r="I83" s="562"/>
      <c r="J83" s="561">
        <v>18</v>
      </c>
      <c r="K83" s="560"/>
      <c r="L83" s="559" t="s">
        <v>627</v>
      </c>
      <c r="M83" s="561" t="s">
        <v>304</v>
      </c>
      <c r="N83" s="561">
        <v>100</v>
      </c>
      <c r="O83" s="547"/>
      <c r="P83" s="558" t="str">
        <f t="shared" si="2"/>
        <v>INCLUDED</v>
      </c>
      <c r="Q83" s="516">
        <f t="shared" si="3"/>
        <v>0</v>
      </c>
      <c r="R83" s="452">
        <f t="shared" si="8"/>
        <v>0</v>
      </c>
      <c r="S83" s="642">
        <f>Discount!$J$36</f>
        <v>0</v>
      </c>
      <c r="T83" s="452">
        <f t="shared" si="9"/>
        <v>0</v>
      </c>
      <c r="U83" s="453">
        <f t="shared" ref="U83:U86" si="10">IF(K83="",J83*T83/100,K83*T83)</f>
        <v>0</v>
      </c>
      <c r="V83" s="769">
        <f t="shared" ref="V83:V86" si="11">O83*N83</f>
        <v>0</v>
      </c>
      <c r="W83" s="264"/>
      <c r="X83" s="264"/>
      <c r="Y83" s="264"/>
      <c r="Z83" s="264"/>
      <c r="AA83" s="264"/>
    </row>
    <row r="84" spans="1:27" ht="63">
      <c r="A84" s="746">
        <v>67</v>
      </c>
      <c r="B84" s="561">
        <v>7000016118</v>
      </c>
      <c r="C84" s="561">
        <v>640</v>
      </c>
      <c r="D84" s="561">
        <v>620</v>
      </c>
      <c r="E84" s="561">
        <v>240</v>
      </c>
      <c r="F84" s="561" t="s">
        <v>607</v>
      </c>
      <c r="G84" s="561">
        <v>100017996</v>
      </c>
      <c r="H84" s="561">
        <v>995474</v>
      </c>
      <c r="I84" s="562"/>
      <c r="J84" s="561">
        <v>18</v>
      </c>
      <c r="K84" s="560"/>
      <c r="L84" s="559" t="s">
        <v>628</v>
      </c>
      <c r="M84" s="561" t="s">
        <v>479</v>
      </c>
      <c r="N84" s="561">
        <v>150</v>
      </c>
      <c r="O84" s="547"/>
      <c r="P84" s="558" t="str">
        <f t="shared" si="2"/>
        <v>INCLUDED</v>
      </c>
      <c r="Q84" s="516">
        <f t="shared" si="3"/>
        <v>0</v>
      </c>
      <c r="R84" s="452">
        <f t="shared" si="8"/>
        <v>0</v>
      </c>
      <c r="S84" s="642">
        <f>Discount!$J$36</f>
        <v>0</v>
      </c>
      <c r="T84" s="452">
        <f t="shared" si="9"/>
        <v>0</v>
      </c>
      <c r="U84" s="453">
        <f t="shared" si="10"/>
        <v>0</v>
      </c>
      <c r="V84" s="769">
        <f t="shared" si="11"/>
        <v>0</v>
      </c>
      <c r="W84" s="264"/>
      <c r="X84" s="264"/>
      <c r="Y84" s="264"/>
      <c r="Z84" s="264"/>
      <c r="AA84" s="264"/>
    </row>
    <row r="85" spans="1:27" ht="110.25">
      <c r="A85" s="746">
        <v>68</v>
      </c>
      <c r="B85" s="561">
        <v>7000016118</v>
      </c>
      <c r="C85" s="561">
        <v>640</v>
      </c>
      <c r="D85" s="561">
        <v>620</v>
      </c>
      <c r="E85" s="561">
        <v>250</v>
      </c>
      <c r="F85" s="561" t="s">
        <v>607</v>
      </c>
      <c r="G85" s="561">
        <v>100004505</v>
      </c>
      <c r="H85" s="561">
        <v>995429</v>
      </c>
      <c r="I85" s="562"/>
      <c r="J85" s="561">
        <v>18</v>
      </c>
      <c r="K85" s="560"/>
      <c r="L85" s="559" t="s">
        <v>629</v>
      </c>
      <c r="M85" s="561" t="s">
        <v>478</v>
      </c>
      <c r="N85" s="561">
        <v>100</v>
      </c>
      <c r="O85" s="547"/>
      <c r="P85" s="558" t="str">
        <f t="shared" si="2"/>
        <v>INCLUDED</v>
      </c>
      <c r="Q85" s="516">
        <f t="shared" si="3"/>
        <v>0</v>
      </c>
      <c r="R85" s="452">
        <f t="shared" si="8"/>
        <v>0</v>
      </c>
      <c r="S85" s="642">
        <f>Discount!$J$36</f>
        <v>0</v>
      </c>
      <c r="T85" s="452">
        <f t="shared" si="9"/>
        <v>0</v>
      </c>
      <c r="U85" s="453">
        <f t="shared" si="10"/>
        <v>0</v>
      </c>
      <c r="V85" s="769">
        <f t="shared" si="11"/>
        <v>0</v>
      </c>
      <c r="W85" s="264"/>
      <c r="X85" s="264"/>
      <c r="Y85" s="264"/>
      <c r="Z85" s="264"/>
      <c r="AA85" s="264"/>
    </row>
    <row r="86" spans="1:27" ht="63">
      <c r="A86" s="746">
        <v>69</v>
      </c>
      <c r="B86" s="561">
        <v>7000016118</v>
      </c>
      <c r="C86" s="561">
        <v>640</v>
      </c>
      <c r="D86" s="561">
        <v>620</v>
      </c>
      <c r="E86" s="561">
        <v>260</v>
      </c>
      <c r="F86" s="561" t="s">
        <v>607</v>
      </c>
      <c r="G86" s="561">
        <v>100001721</v>
      </c>
      <c r="H86" s="561">
        <v>995428</v>
      </c>
      <c r="I86" s="562"/>
      <c r="J86" s="561">
        <v>18</v>
      </c>
      <c r="K86" s="560"/>
      <c r="L86" s="559" t="s">
        <v>545</v>
      </c>
      <c r="M86" s="561" t="s">
        <v>304</v>
      </c>
      <c r="N86" s="561">
        <v>70</v>
      </c>
      <c r="O86" s="547"/>
      <c r="P86" s="558" t="str">
        <f t="shared" si="2"/>
        <v>INCLUDED</v>
      </c>
      <c r="Q86" s="516">
        <f t="shared" si="3"/>
        <v>0</v>
      </c>
      <c r="R86" s="452">
        <f t="shared" si="8"/>
        <v>0</v>
      </c>
      <c r="S86" s="642">
        <f>Discount!$J$36</f>
        <v>0</v>
      </c>
      <c r="T86" s="452">
        <f t="shared" si="9"/>
        <v>0</v>
      </c>
      <c r="U86" s="453">
        <f t="shared" si="10"/>
        <v>0</v>
      </c>
      <c r="V86" s="769">
        <f t="shared" si="11"/>
        <v>0</v>
      </c>
      <c r="W86" s="264"/>
      <c r="X86" s="264"/>
      <c r="Y86" s="264"/>
      <c r="Z86" s="264"/>
      <c r="AA86" s="264"/>
    </row>
    <row r="87" spans="1:27" ht="28.5" customHeight="1">
      <c r="A87" s="619"/>
      <c r="B87" s="623" t="s">
        <v>197</v>
      </c>
      <c r="C87" s="621"/>
      <c r="D87" s="621"/>
      <c r="E87" s="621"/>
      <c r="F87" s="620"/>
      <c r="G87" s="620"/>
      <c r="H87" s="620"/>
      <c r="I87" s="620"/>
      <c r="J87" s="620"/>
      <c r="K87" s="620"/>
      <c r="L87" s="620"/>
      <c r="M87" s="620"/>
      <c r="N87" s="622"/>
      <c r="O87" s="620"/>
      <c r="P87" s="738">
        <f>SUM(P18:P86)</f>
        <v>0</v>
      </c>
      <c r="Q87" s="645"/>
      <c r="R87" s="644">
        <f>SUM(R18:R86)</f>
        <v>0</v>
      </c>
      <c r="S87" s="263"/>
      <c r="T87" s="454"/>
      <c r="U87" s="644">
        <f>SUM(U18:U86)</f>
        <v>0</v>
      </c>
      <c r="V87" s="769">
        <f>SUM(V18:V86)</f>
        <v>0</v>
      </c>
      <c r="W87" s="264"/>
      <c r="X87" s="264"/>
      <c r="Y87" s="264"/>
      <c r="Z87" s="264"/>
      <c r="AA87" s="264"/>
    </row>
    <row r="88" spans="1:27" ht="21.75" customHeight="1">
      <c r="B88" s="747"/>
      <c r="C88" s="748"/>
      <c r="D88" s="748"/>
      <c r="E88" s="748"/>
      <c r="F88" s="748"/>
      <c r="G88" s="748"/>
      <c r="H88" s="748"/>
      <c r="I88" s="748"/>
      <c r="J88" s="748"/>
      <c r="K88" s="748"/>
      <c r="L88" s="748"/>
      <c r="M88" s="481"/>
      <c r="N88" s="469"/>
      <c r="O88" s="481"/>
      <c r="P88" s="481"/>
      <c r="Q88" s="479"/>
      <c r="R88" s="263"/>
      <c r="S88" s="263"/>
      <c r="T88" s="454"/>
      <c r="U88" s="263"/>
      <c r="V88" s="264"/>
      <c r="W88" s="264"/>
      <c r="X88" s="264"/>
      <c r="Y88" s="264"/>
      <c r="Z88" s="264"/>
      <c r="AA88" s="264"/>
    </row>
    <row r="89" spans="1:27" ht="30" customHeight="1">
      <c r="A89" s="612" t="s">
        <v>360</v>
      </c>
      <c r="B89" s="848" t="s">
        <v>361</v>
      </c>
      <c r="C89" s="848"/>
      <c r="D89" s="848"/>
      <c r="E89" s="848"/>
      <c r="F89" s="848"/>
      <c r="G89" s="848"/>
      <c r="H89" s="848"/>
      <c r="I89" s="848"/>
      <c r="J89" s="848"/>
      <c r="K89" s="848"/>
      <c r="L89" s="848"/>
      <c r="M89" s="848"/>
      <c r="N89" s="848"/>
      <c r="O89" s="848"/>
      <c r="P89" s="848"/>
      <c r="Q89" s="479"/>
      <c r="R89" s="263"/>
      <c r="S89" s="263"/>
      <c r="T89" s="454"/>
      <c r="U89" s="263"/>
      <c r="V89" s="264"/>
      <c r="W89" s="264"/>
      <c r="X89" s="264"/>
      <c r="Y89" s="264"/>
      <c r="Z89" s="264"/>
      <c r="AA89" s="264"/>
    </row>
    <row r="90" spans="1:27" ht="21.75" customHeight="1">
      <c r="A90" s="749"/>
      <c r="B90" s="435"/>
      <c r="C90" s="330"/>
      <c r="D90" s="331"/>
      <c r="E90" s="332"/>
      <c r="F90" s="426"/>
      <c r="G90" s="426"/>
      <c r="H90" s="426"/>
      <c r="I90" s="426"/>
      <c r="J90" s="426"/>
      <c r="K90" s="426"/>
      <c r="L90" s="416"/>
      <c r="M90" s="481"/>
      <c r="N90" s="469"/>
      <c r="O90" s="481"/>
      <c r="P90" s="481"/>
      <c r="Q90" s="479"/>
      <c r="R90" s="263"/>
      <c r="S90" s="263"/>
      <c r="T90" s="454"/>
      <c r="U90" s="263"/>
      <c r="V90" s="264"/>
      <c r="W90" s="264"/>
      <c r="X90" s="264"/>
      <c r="Y90" s="264"/>
      <c r="Z90" s="264"/>
      <c r="AA90" s="264"/>
    </row>
    <row r="91" spans="1:27" ht="21.75" customHeight="1">
      <c r="A91" s="749"/>
      <c r="B91" s="435"/>
      <c r="C91" s="330"/>
      <c r="D91" s="331"/>
      <c r="E91" s="332"/>
      <c r="F91" s="426"/>
      <c r="G91" s="426"/>
      <c r="H91" s="426"/>
      <c r="I91" s="426"/>
      <c r="J91" s="426"/>
      <c r="K91" s="426"/>
      <c r="L91" s="416"/>
      <c r="M91" s="481"/>
      <c r="N91" s="469"/>
      <c r="O91" s="481"/>
      <c r="P91" s="481"/>
      <c r="Q91" s="479"/>
      <c r="R91" s="263"/>
      <c r="S91" s="263"/>
      <c r="T91" s="454"/>
      <c r="U91" s="263"/>
      <c r="V91" s="264"/>
      <c r="W91" s="264"/>
      <c r="X91" s="264"/>
      <c r="Y91" s="264"/>
      <c r="Z91" s="264"/>
      <c r="AA91" s="264"/>
    </row>
    <row r="92" spans="1:27" s="469" customFormat="1" ht="16.5">
      <c r="A92" s="612"/>
      <c r="B92" s="613" t="s">
        <v>318</v>
      </c>
      <c r="C92" s="851" t="str">
        <f>'Sch-1'!C73:D73</f>
        <v xml:space="preserve">  </v>
      </c>
      <c r="D92" s="851"/>
      <c r="E92" s="851"/>
      <c r="F92" s="612"/>
      <c r="G92" s="612"/>
      <c r="H92" s="612"/>
      <c r="I92" s="612"/>
      <c r="J92" s="612"/>
      <c r="K92" s="612"/>
      <c r="L92" s="612"/>
      <c r="M92" s="849" t="s">
        <v>320</v>
      </c>
      <c r="N92" s="849"/>
      <c r="O92" s="852" t="str">
        <f>'Sch-1'!K73</f>
        <v/>
      </c>
      <c r="P92" s="852"/>
      <c r="R92" s="480"/>
      <c r="S92" s="480"/>
      <c r="T92" s="480"/>
      <c r="U92" s="480"/>
    </row>
    <row r="93" spans="1:27" s="469" customFormat="1" ht="16.5">
      <c r="A93" s="612"/>
      <c r="B93" s="613" t="s">
        <v>319</v>
      </c>
      <c r="C93" s="850" t="str">
        <f>'Sch-1'!C74:D74</f>
        <v/>
      </c>
      <c r="D93" s="850"/>
      <c r="E93" s="850"/>
      <c r="F93" s="612"/>
      <c r="G93" s="612"/>
      <c r="H93" s="612"/>
      <c r="I93" s="612"/>
      <c r="J93" s="612"/>
      <c r="K93" s="612"/>
      <c r="L93" s="612"/>
      <c r="M93" s="849" t="s">
        <v>125</v>
      </c>
      <c r="N93" s="849"/>
      <c r="O93" s="852" t="str">
        <f>'Sch-1'!K74</f>
        <v/>
      </c>
      <c r="P93" s="852"/>
      <c r="R93" s="480"/>
      <c r="S93" s="480"/>
      <c r="T93" s="480"/>
      <c r="U93" s="480"/>
    </row>
    <row r="94" spans="1:27" ht="16.5">
      <c r="B94" s="435"/>
      <c r="C94" s="330"/>
      <c r="D94" s="3"/>
      <c r="E94" s="332"/>
      <c r="F94" s="436"/>
      <c r="G94" s="426"/>
      <c r="H94" s="426"/>
      <c r="I94" s="426"/>
      <c r="J94" s="426"/>
      <c r="K94" s="426"/>
      <c r="L94" s="416"/>
      <c r="M94" s="481"/>
      <c r="N94" s="469"/>
      <c r="O94" s="481"/>
      <c r="P94" s="481"/>
      <c r="Q94" s="481"/>
    </row>
    <row r="95" spans="1:27" ht="16.5">
      <c r="B95" s="437"/>
      <c r="C95" s="335"/>
      <c r="D95" s="336"/>
      <c r="E95" s="332"/>
      <c r="F95" s="436"/>
      <c r="G95" s="438"/>
      <c r="H95" s="438"/>
      <c r="I95" s="438"/>
      <c r="J95" s="438"/>
      <c r="K95" s="438"/>
      <c r="L95" s="416"/>
      <c r="M95" s="481"/>
      <c r="N95" s="469"/>
      <c r="O95" s="481"/>
      <c r="P95" s="481"/>
      <c r="Q95" s="481"/>
    </row>
    <row r="97" spans="16:16">
      <c r="P97" s="731">
        <f>P87*0.18</f>
        <v>0</v>
      </c>
    </row>
  </sheetData>
  <sheetProtection algorithmName="SHA-512" hashValue="rFkFJ2AtvCoFbvnalRz0/YkR2u3vb21OX4pCFvPBpqhtsJor/3eFh1Sm2F4DPWu/jEzyzXndbIQrtxeaHw9cNw==" saltValue="4omzw3f8dPIcohugbA9YHA==" spinCount="100000" sheet="1" formatColumns="0" formatRows="0" selectLockedCells="1"/>
  <customSheetViews>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2"/>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3"/>
      <headerFooter>
        <oddHeader>&amp;RSchedule-3
Page &amp;P of &amp;N</oddHeader>
      </headerFooter>
    </customSheetView>
    <customSheetView guid="{CCA37BAE-906F-43D5-9FD9-B13563E4B9D7}" scale="60" showPageBreaks="1" printArea="1" hiddenColumns="1" view="pageBreakPreview">
      <selection activeCell="I189" sqref="I189"/>
      <pageMargins left="0.2" right="0.2" top="0.75" bottom="0.5" header="0.3" footer="0.3"/>
      <printOptions horizontalCentered="1"/>
      <pageSetup paperSize="9" scale="52" orientation="landscape" r:id="rId4"/>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10"/>
      <headerFooter>
        <oddHeader>&amp;RSchedule-3
Page &amp;P of &amp;N</oddHeader>
      </headerFooter>
    </customSheetView>
  </customSheetViews>
  <mergeCells count="17">
    <mergeCell ref="B89:P89"/>
    <mergeCell ref="M93:N93"/>
    <mergeCell ref="M92:N92"/>
    <mergeCell ref="C93:E93"/>
    <mergeCell ref="C92:E92"/>
    <mergeCell ref="O93:P93"/>
    <mergeCell ref="O92:P92"/>
    <mergeCell ref="A3:P3"/>
    <mergeCell ref="A4:P4"/>
    <mergeCell ref="A6:B6"/>
    <mergeCell ref="A7:I7"/>
    <mergeCell ref="A8:G8"/>
    <mergeCell ref="C12:G12"/>
    <mergeCell ref="A14:P14"/>
    <mergeCell ref="C11:G11"/>
    <mergeCell ref="C10:G10"/>
    <mergeCell ref="C9:G9"/>
  </mergeCells>
  <conditionalFormatting sqref="K18:K86">
    <cfRule type="expression" dxfId="5" priority="10" stopIfTrue="1">
      <formula>J18&gt;0</formula>
    </cfRule>
  </conditionalFormatting>
  <dataValidations count="5">
    <dataValidation type="list" allowBlank="1" showInputMessage="1" showErrorMessage="1" sqref="IJ64522 A64522:K64522" xr:uid="{00000000-0002-0000-0600-000000000000}">
      <formula1>#REF!</formula1>
    </dataValidation>
    <dataValidation type="decimal" operator="greaterThan" allowBlank="1" showInputMessage="1" showErrorMessage="1" error="Enter only Numeric Value greater than zero or leave the cell blank !" sqref="O64492:O64538" xr:uid="{00000000-0002-0000-0600-000001000000}">
      <formula1>0</formula1>
    </dataValidation>
    <dataValidation type="list" operator="greaterThan" allowBlank="1" showInputMessage="1" showErrorMessage="1" sqref="K18:K86" xr:uid="{00000000-0002-0000-0600-000002000000}">
      <formula1>"0%,5%,12%,18%,28%"</formula1>
    </dataValidation>
    <dataValidation type="whole" operator="greaterThan" allowBlank="1" showInputMessage="1" showErrorMessage="1" sqref="I18:I86" xr:uid="{00000000-0002-0000-0600-000003000000}">
      <formula1>0</formula1>
    </dataValidation>
    <dataValidation type="decimal" operator="greaterThanOrEqual" allowBlank="1" showInputMessage="1" showErrorMessage="1" sqref="O18:O86" xr:uid="{00000000-0002-0000-0600-000004000000}">
      <formula1>0</formula1>
    </dataValidation>
  </dataValidations>
  <printOptions horizontalCentered="1"/>
  <pageMargins left="0.2" right="0.2" top="0.75" bottom="0.5" header="0.3" footer="0.3"/>
  <pageSetup paperSize="9" scale="49" orientation="landscape" r:id="rId11"/>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F10" zoomScaleNormal="100" zoomScaleSheetLayoutView="100" workbookViewId="0">
      <selection activeCell="R19" sqref="R19"/>
    </sheetView>
  </sheetViews>
  <sheetFormatPr defaultColWidth="9.140625" defaultRowHeight="15.75"/>
  <cols>
    <col min="1" max="1" width="7.5703125" style="507" customWidth="1"/>
    <col min="2" max="2" width="9" style="507" customWidth="1"/>
    <col min="3" max="3" width="10.28515625" style="507" customWidth="1"/>
    <col min="4" max="4" width="10.85546875" style="507" customWidth="1"/>
    <col min="5" max="5" width="11.140625" style="507" customWidth="1"/>
    <col min="6" max="6" width="13.7109375" style="507" customWidth="1"/>
    <col min="7" max="7" width="15.42578125" style="507" customWidth="1"/>
    <col min="8" max="11" width="16.85546875" style="507" customWidth="1"/>
    <col min="12" max="12" width="14.42578125" style="508" customWidth="1"/>
    <col min="13" max="13" width="9" style="507" customWidth="1"/>
    <col min="14" max="14" width="11.42578125" style="507" customWidth="1"/>
    <col min="15" max="15" width="13.28515625" style="507" customWidth="1"/>
    <col min="16" max="16" width="15.7109375" style="512" customWidth="1"/>
    <col min="17" max="16384" width="9.140625" style="512"/>
  </cols>
  <sheetData>
    <row r="1" spans="1:16" s="509" customFormat="1" ht="24.75" customHeight="1">
      <c r="A1" s="492" t="str">
        <f>Cover!B3</f>
        <v xml:space="preserve">5002002027/GIS-EXCLUDING/DOM/A04-CC CS-5   </v>
      </c>
      <c r="B1" s="492"/>
      <c r="C1" s="492"/>
      <c r="D1" s="492"/>
      <c r="E1" s="492"/>
      <c r="F1" s="492"/>
      <c r="G1" s="493"/>
      <c r="H1" s="493"/>
      <c r="I1" s="493"/>
      <c r="J1" s="493"/>
      <c r="K1" s="493"/>
      <c r="L1" s="494"/>
      <c r="M1" s="495"/>
      <c r="N1" s="496"/>
      <c r="O1" s="496"/>
      <c r="P1" s="497" t="s">
        <v>26</v>
      </c>
    </row>
    <row r="2" spans="1:16" s="509" customFormat="1">
      <c r="A2" s="11"/>
      <c r="B2" s="11"/>
      <c r="C2" s="11"/>
      <c r="D2" s="11"/>
      <c r="E2" s="11"/>
      <c r="F2" s="11"/>
      <c r="G2" s="498"/>
      <c r="H2" s="498"/>
      <c r="I2" s="498"/>
      <c r="J2" s="498"/>
      <c r="K2" s="498"/>
      <c r="L2" s="499"/>
      <c r="M2" s="500"/>
      <c r="N2" s="501"/>
      <c r="O2" s="501"/>
    </row>
    <row r="3" spans="1:16" s="509" customFormat="1" ht="87" customHeight="1">
      <c r="A3" s="853" t="str">
        <f>Cover!$B$2</f>
        <v xml:space="preserve">GIS Substation Package SS02 for extension of 400/220kV Kurukshetra GIS Substation associated with Augmentation of transformation capacity at 400/220kV Kurukshetra S/S &amp; Patiala S/S
</v>
      </c>
      <c r="B3" s="853"/>
      <c r="C3" s="853"/>
      <c r="D3" s="853"/>
      <c r="E3" s="853"/>
      <c r="F3" s="853"/>
      <c r="G3" s="853"/>
      <c r="H3" s="853"/>
      <c r="I3" s="853"/>
      <c r="J3" s="853"/>
      <c r="K3" s="853"/>
      <c r="L3" s="853"/>
      <c r="M3" s="853"/>
      <c r="N3" s="853"/>
      <c r="O3" s="853"/>
      <c r="P3" s="853"/>
    </row>
    <row r="4" spans="1:16" s="509" customFormat="1" ht="16.5">
      <c r="A4" s="854" t="s">
        <v>19</v>
      </c>
      <c r="B4" s="854"/>
      <c r="C4" s="854"/>
      <c r="D4" s="854"/>
      <c r="E4" s="854"/>
      <c r="F4" s="854"/>
      <c r="G4" s="854"/>
      <c r="H4" s="854"/>
      <c r="I4" s="854"/>
      <c r="J4" s="854"/>
      <c r="K4" s="854"/>
      <c r="L4" s="854"/>
      <c r="M4" s="854"/>
      <c r="N4" s="854"/>
      <c r="O4" s="854"/>
      <c r="P4" s="854"/>
    </row>
    <row r="5" spans="1:16" s="509" customFormat="1">
      <c r="A5" s="502"/>
      <c r="B5" s="502"/>
      <c r="C5" s="502"/>
      <c r="D5" s="502"/>
      <c r="E5" s="502"/>
      <c r="F5" s="502"/>
      <c r="G5" s="503"/>
      <c r="H5" s="503"/>
      <c r="I5" s="503"/>
      <c r="J5" s="503"/>
      <c r="K5" s="503"/>
      <c r="L5" s="503"/>
      <c r="M5" s="502"/>
      <c r="N5" s="502"/>
      <c r="O5" s="502"/>
    </row>
    <row r="6" spans="1:16" s="509" customFormat="1" ht="20.25" customHeight="1">
      <c r="A6" s="833" t="s">
        <v>353</v>
      </c>
      <c r="B6" s="833"/>
      <c r="C6" s="4"/>
      <c r="D6" s="352"/>
      <c r="E6" s="4"/>
      <c r="F6" s="4"/>
      <c r="G6" s="4"/>
      <c r="H6" s="4"/>
      <c r="I6" s="4"/>
      <c r="J6" s="503"/>
      <c r="K6" s="503"/>
      <c r="L6" s="503"/>
      <c r="M6" s="502"/>
      <c r="N6" s="502"/>
      <c r="O6" s="502"/>
    </row>
    <row r="7" spans="1:16" s="509" customFormat="1" ht="21" customHeight="1">
      <c r="A7" s="838">
        <f>'Sch-1'!A7</f>
        <v>0</v>
      </c>
      <c r="B7" s="838"/>
      <c r="C7" s="838"/>
      <c r="D7" s="838"/>
      <c r="E7" s="838"/>
      <c r="F7" s="838"/>
      <c r="G7" s="838"/>
      <c r="H7" s="838"/>
      <c r="I7" s="838"/>
      <c r="J7" s="5"/>
      <c r="K7" s="5"/>
      <c r="L7" s="393"/>
      <c r="M7" s="5"/>
      <c r="N7" s="504" t="s">
        <v>1</v>
      </c>
      <c r="O7" s="501"/>
    </row>
    <row r="8" spans="1:16" s="509" customFormat="1" ht="21" customHeight="1">
      <c r="A8" s="834" t="str">
        <f>"Bidder’s Name and Address  (" &amp; MID('Names of Bidder'!B9,9, 20) &amp; ") :"</f>
        <v>Bidder’s Name and Address  (Sole Bidder) :</v>
      </c>
      <c r="B8" s="834"/>
      <c r="C8" s="834"/>
      <c r="D8" s="834"/>
      <c r="E8" s="834"/>
      <c r="F8" s="834"/>
      <c r="G8" s="834"/>
      <c r="H8" s="549"/>
      <c r="I8" s="549"/>
      <c r="J8" s="518"/>
      <c r="K8" s="518"/>
      <c r="L8" s="518"/>
      <c r="M8" s="518"/>
      <c r="N8" s="12" t="str">
        <f>'Sch-1'!K8</f>
        <v>Contract Services</v>
      </c>
      <c r="O8" s="501"/>
    </row>
    <row r="9" spans="1:16" s="509" customFormat="1" ht="24" customHeight="1">
      <c r="A9" s="462" t="s">
        <v>12</v>
      </c>
      <c r="B9" s="408"/>
      <c r="C9" s="837" t="str">
        <f>IF('Names of Bidder'!D9=0, "", 'Names of Bidder'!D9)</f>
        <v/>
      </c>
      <c r="D9" s="837"/>
      <c r="E9" s="837"/>
      <c r="F9" s="837"/>
      <c r="G9" s="837"/>
      <c r="H9" s="445"/>
      <c r="I9" s="409"/>
      <c r="J9" s="262"/>
      <c r="K9" s="262"/>
      <c r="L9" s="510"/>
      <c r="N9" s="12" t="str">
        <f>'Sch-1'!K9</f>
        <v>Power Grid Corporation of India Ltd.,</v>
      </c>
      <c r="O9" s="501"/>
    </row>
    <row r="10" spans="1:16" s="509" customFormat="1" ht="16.5">
      <c r="A10" s="462" t="s">
        <v>11</v>
      </c>
      <c r="B10" s="408"/>
      <c r="C10" s="836" t="str">
        <f>IF('Names of Bidder'!D10=0, "", 'Names of Bidder'!D10)</f>
        <v/>
      </c>
      <c r="D10" s="836"/>
      <c r="E10" s="836"/>
      <c r="F10" s="836"/>
      <c r="G10" s="836"/>
      <c r="H10" s="445"/>
      <c r="I10" s="409"/>
      <c r="J10" s="262"/>
      <c r="K10" s="262"/>
      <c r="L10" s="510"/>
      <c r="N10" s="12" t="str">
        <f>'Sch-1'!K10</f>
        <v>"Saudamini", Plot No.-2</v>
      </c>
      <c r="O10" s="501"/>
    </row>
    <row r="11" spans="1:16" s="509" customFormat="1">
      <c r="A11" s="409"/>
      <c r="B11" s="409"/>
      <c r="C11" s="836" t="str">
        <f>IF('Names of Bidder'!D11=0, "", 'Names of Bidder'!D11)</f>
        <v/>
      </c>
      <c r="D11" s="836"/>
      <c r="E11" s="836"/>
      <c r="F11" s="836"/>
      <c r="G11" s="836"/>
      <c r="H11" s="445"/>
      <c r="I11" s="409"/>
      <c r="J11" s="262"/>
      <c r="K11" s="262"/>
      <c r="L11" s="510"/>
      <c r="N11" s="12" t="str">
        <f>'Sch-1'!K11</f>
        <v xml:space="preserve">Sector-29, </v>
      </c>
      <c r="O11" s="501"/>
    </row>
    <row r="12" spans="1:16" s="509" customFormat="1">
      <c r="A12" s="409"/>
      <c r="B12" s="409"/>
      <c r="C12" s="836" t="str">
        <f>IF('Names of Bidder'!D12=0, "", 'Names of Bidder'!D12)</f>
        <v/>
      </c>
      <c r="D12" s="836"/>
      <c r="E12" s="836"/>
      <c r="F12" s="836"/>
      <c r="G12" s="836"/>
      <c r="H12" s="445"/>
      <c r="I12" s="409"/>
      <c r="J12" s="262"/>
      <c r="K12" s="262"/>
      <c r="L12" s="510"/>
      <c r="N12" s="12" t="str">
        <f>'Sch-1'!K12</f>
        <v>Gurgaon (Haryana) - 122001</v>
      </c>
      <c r="O12" s="501"/>
    </row>
    <row r="13" spans="1:16" s="509" customFormat="1">
      <c r="A13" s="409"/>
      <c r="B13" s="409"/>
      <c r="C13" s="597"/>
      <c r="D13" s="597"/>
      <c r="E13" s="597"/>
      <c r="F13" s="597"/>
      <c r="G13" s="597"/>
      <c r="H13" s="445"/>
      <c r="I13" s="409"/>
      <c r="J13" s="262"/>
      <c r="K13" s="262"/>
      <c r="L13" s="510"/>
      <c r="N13" s="12"/>
      <c r="O13" s="501"/>
    </row>
    <row r="14" spans="1:16" s="509" customFormat="1" ht="21" customHeight="1">
      <c r="A14" s="847" t="s">
        <v>27</v>
      </c>
      <c r="B14" s="847"/>
      <c r="C14" s="847"/>
      <c r="D14" s="847"/>
      <c r="E14" s="847"/>
      <c r="F14" s="847"/>
      <c r="G14" s="847"/>
      <c r="H14" s="847"/>
      <c r="I14" s="847"/>
      <c r="J14" s="847"/>
      <c r="K14" s="847"/>
      <c r="L14" s="847"/>
      <c r="M14" s="847"/>
      <c r="N14" s="847"/>
      <c r="O14" s="847"/>
      <c r="P14" s="847"/>
    </row>
    <row r="15" spans="1:16" s="509" customFormat="1" ht="63.75" customHeight="1">
      <c r="A15" s="488" t="s">
        <v>7</v>
      </c>
      <c r="B15" s="489" t="s">
        <v>267</v>
      </c>
      <c r="C15" s="489" t="s">
        <v>268</v>
      </c>
      <c r="D15" s="489" t="s">
        <v>278</v>
      </c>
      <c r="E15" s="489" t="s">
        <v>280</v>
      </c>
      <c r="F15" s="489" t="s">
        <v>281</v>
      </c>
      <c r="G15" s="488" t="s">
        <v>25</v>
      </c>
      <c r="H15" s="519" t="s">
        <v>325</v>
      </c>
      <c r="I15" s="520" t="s">
        <v>324</v>
      </c>
      <c r="J15" s="520" t="s">
        <v>313</v>
      </c>
      <c r="K15" s="520" t="s">
        <v>321</v>
      </c>
      <c r="L15" s="489" t="s">
        <v>15</v>
      </c>
      <c r="M15" s="490" t="s">
        <v>9</v>
      </c>
      <c r="N15" s="490" t="s">
        <v>16</v>
      </c>
      <c r="O15" s="491" t="s">
        <v>28</v>
      </c>
      <c r="P15" s="491" t="s">
        <v>29</v>
      </c>
    </row>
    <row r="16" spans="1:16" s="617" customFormat="1" ht="15">
      <c r="A16" s="614">
        <v>1</v>
      </c>
      <c r="B16" s="614">
        <v>2</v>
      </c>
      <c r="C16" s="614">
        <v>3</v>
      </c>
      <c r="D16" s="614">
        <v>4</v>
      </c>
      <c r="E16" s="614">
        <v>5</v>
      </c>
      <c r="F16" s="614">
        <v>6</v>
      </c>
      <c r="G16" s="614">
        <v>7</v>
      </c>
      <c r="H16" s="615">
        <v>8</v>
      </c>
      <c r="I16" s="615">
        <v>9</v>
      </c>
      <c r="J16" s="615">
        <v>10</v>
      </c>
      <c r="K16" s="615">
        <v>11</v>
      </c>
      <c r="L16" s="616">
        <v>12</v>
      </c>
      <c r="M16" s="614">
        <v>13</v>
      </c>
      <c r="N16" s="614">
        <v>14</v>
      </c>
      <c r="O16" s="614">
        <v>15</v>
      </c>
      <c r="P16" s="614" t="s">
        <v>323</v>
      </c>
    </row>
    <row r="17" spans="1:17">
      <c r="A17" s="505"/>
      <c r="B17" s="505"/>
      <c r="C17" s="505"/>
      <c r="D17" s="505"/>
      <c r="E17" s="505"/>
      <c r="F17" s="505"/>
      <c r="G17" s="505"/>
      <c r="H17" s="505"/>
      <c r="I17" s="505"/>
      <c r="J17" s="505"/>
      <c r="K17" s="505"/>
      <c r="L17" s="506"/>
      <c r="M17" s="505"/>
      <c r="N17" s="505"/>
      <c r="O17" s="505"/>
      <c r="P17" s="511"/>
    </row>
    <row r="18" spans="1:17" s="507" customFormat="1" ht="45" customHeight="1">
      <c r="A18" s="505"/>
      <c r="B18" s="513"/>
      <c r="C18" s="513"/>
      <c r="D18" s="513"/>
      <c r="F18" s="513"/>
      <c r="G18" s="513"/>
      <c r="H18" s="513"/>
      <c r="I18" s="603" t="s">
        <v>341</v>
      </c>
      <c r="J18" s="513"/>
      <c r="K18" s="513"/>
      <c r="L18" s="513"/>
      <c r="M18" s="513"/>
      <c r="N18" s="513"/>
      <c r="O18" s="513"/>
      <c r="P18" s="513"/>
    </row>
    <row r="19" spans="1:17" ht="26.25" customHeight="1">
      <c r="A19" s="505"/>
      <c r="B19" s="862"/>
      <c r="C19" s="863"/>
      <c r="D19" s="863"/>
      <c r="E19" s="863"/>
      <c r="F19" s="863"/>
      <c r="G19" s="863"/>
      <c r="H19" s="863"/>
      <c r="I19" s="863"/>
      <c r="J19" s="863"/>
      <c r="K19" s="864"/>
      <c r="L19" s="514"/>
      <c r="M19" s="514"/>
      <c r="N19" s="514"/>
      <c r="O19" s="514"/>
      <c r="P19" s="515"/>
      <c r="Q19" s="446"/>
    </row>
    <row r="20" spans="1:17" ht="27.75" customHeight="1">
      <c r="A20" s="859" t="s">
        <v>326</v>
      </c>
      <c r="B20" s="859"/>
      <c r="C20" s="859"/>
      <c r="D20" s="859"/>
      <c r="E20" s="859"/>
      <c r="F20" s="859"/>
      <c r="G20" s="859"/>
      <c r="H20" s="859"/>
      <c r="I20" s="859"/>
      <c r="J20" s="859"/>
      <c r="K20" s="859"/>
      <c r="L20" s="859"/>
      <c r="M20" s="859"/>
      <c r="N20" s="859"/>
      <c r="O20" s="859"/>
      <c r="P20" s="859"/>
      <c r="Q20" s="446"/>
    </row>
    <row r="21" spans="1:17" ht="39" customHeight="1">
      <c r="A21" s="860" t="s">
        <v>327</v>
      </c>
      <c r="B21" s="860"/>
      <c r="C21" s="860"/>
      <c r="D21" s="860"/>
      <c r="E21" s="860"/>
      <c r="F21" s="860"/>
      <c r="G21" s="860"/>
      <c r="H21" s="860"/>
      <c r="I21" s="860"/>
      <c r="J21" s="860"/>
      <c r="K21" s="860"/>
      <c r="L21" s="860"/>
      <c r="M21" s="860"/>
      <c r="N21" s="860"/>
      <c r="O21" s="860"/>
      <c r="P21" s="860"/>
      <c r="Q21" s="446"/>
    </row>
    <row r="23" spans="1:17" s="516" customFormat="1">
      <c r="B23" s="517" t="s">
        <v>318</v>
      </c>
      <c r="C23" s="858" t="str">
        <f>'Sch-3'!C92:D92</f>
        <v xml:space="preserve">  </v>
      </c>
      <c r="D23" s="857"/>
    </row>
    <row r="24" spans="1:17" s="516" customFormat="1">
      <c r="B24" s="517" t="s">
        <v>319</v>
      </c>
      <c r="C24" s="856" t="str">
        <f>'Sch-3'!C93:D93</f>
        <v/>
      </c>
      <c r="D24" s="857"/>
      <c r="L24" s="855" t="s">
        <v>320</v>
      </c>
      <c r="M24" s="855"/>
      <c r="N24" s="861" t="str">
        <f>'Sch-3'!O92</f>
        <v/>
      </c>
      <c r="O24" s="861"/>
      <c r="P24" s="861"/>
    </row>
    <row r="25" spans="1:17">
      <c r="L25" s="855" t="s">
        <v>125</v>
      </c>
      <c r="M25" s="855"/>
      <c r="N25" s="861" t="str">
        <f>'Sch-3'!O93</f>
        <v/>
      </c>
      <c r="O25" s="861"/>
      <c r="P25" s="861"/>
    </row>
  </sheetData>
  <sheetProtection algorithmName="SHA-512" hashValue="nonaXWAZEi/bVtk7/c9Qn+hHyLZ6Yu17Bx9gxcD1uaIWdzY8Tcb3DgGJovxXGIeieryXQz5DCyaUvl0LkRNXWA==" saltValue="rNYZCkUH7JoJej+rq8qSxQ==" spinCount="100000" sheet="1" formatColumns="0" formatRows="0" selectLockedCells="1"/>
  <customSheetViews>
    <customSheetView guid="{12A89170-4F84-482D-A3C5-7890082E7B73}" showPageBreaks="1" printArea="1" view="pageBreakPreview" topLeftCell="F10">
      <selection activeCell="R19" sqref="R19"/>
      <pageMargins left="0.7" right="0.7" top="0.75" bottom="0.75" header="0.3" footer="0.3"/>
      <pageSetup paperSize="9" scale="58" orientation="landscape" r:id="rId1"/>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2"/>
    </customSheetView>
    <customSheetView guid="{63D51328-7CBC-4A1E-B96D-BAE91416501B}" showPageBreaks="1" printArea="1" view="pageBreakPreview">
      <selection activeCell="G39" sqref="G39"/>
      <pageMargins left="0.7" right="0.7" top="0.75" bottom="0.75" header="0.3" footer="0.3"/>
      <pageSetup paperSize="9" scale="58" orientation="landscape" r:id="rId3"/>
    </customSheetView>
    <customSheetView guid="{CCA37BAE-906F-43D5-9FD9-B13563E4B9D7}" showPageBreaks="1" printArea="1" view="pageBreakPreview">
      <selection activeCell="G39" sqref="G39"/>
      <pageMargins left="0.7" right="0.7" top="0.75" bottom="0.75" header="0.3" footer="0.3"/>
      <pageSetup paperSize="9" scale="58" orientation="landscape" r:id="rId4"/>
    </customSheetView>
    <customSheetView guid="{497EA202-A8B8-45C5-9E6C-C3CD104F3979}" showPageBreaks="1" printArea="1" view="pageBreakPreview">
      <selection activeCell="G39" sqref="G39"/>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10"/>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 xml:space="preserve">5002002027/GIS-EXCLUDING/DOM/A04-CC CS-5   </v>
      </c>
      <c r="B1" s="82"/>
      <c r="C1" s="83"/>
      <c r="D1" s="83"/>
      <c r="E1" s="84" t="s">
        <v>128</v>
      </c>
    </row>
    <row r="2" spans="1:15" ht="8.1" customHeight="1">
      <c r="A2" s="87"/>
      <c r="B2" s="88"/>
      <c r="C2" s="89"/>
      <c r="D2" s="89"/>
      <c r="E2" s="90"/>
      <c r="F2" s="91"/>
    </row>
    <row r="3" spans="1:15" ht="114.75" customHeight="1">
      <c r="A3" s="872" t="str">
        <f>Cover!$B$2</f>
        <v xml:space="preserve">GIS Substation Package SS02 for extension of 400/220kV Kurukshetra GIS Substation associated with Augmentation of transformation capacity at 400/220kV Kurukshetra S/S &amp; Patiala S/S
</v>
      </c>
      <c r="B3" s="872"/>
      <c r="C3" s="872"/>
      <c r="D3" s="872"/>
      <c r="E3" s="872"/>
    </row>
    <row r="4" spans="1:15" ht="21.95" customHeight="1">
      <c r="A4" s="873" t="s">
        <v>129</v>
      </c>
      <c r="B4" s="873"/>
      <c r="C4" s="873"/>
      <c r="D4" s="873"/>
      <c r="E4" s="873"/>
    </row>
    <row r="5" spans="1:15" ht="12" customHeight="1">
      <c r="A5" s="92"/>
      <c r="B5" s="93"/>
      <c r="C5" s="93"/>
      <c r="D5" s="93"/>
      <c r="E5" s="93"/>
    </row>
    <row r="6" spans="1:15" ht="24" customHeight="1">
      <c r="A6" s="833" t="s">
        <v>353</v>
      </c>
      <c r="B6" s="833"/>
      <c r="C6" s="4"/>
      <c r="D6" s="352"/>
      <c r="E6" s="4"/>
      <c r="F6" s="4"/>
      <c r="G6" s="4"/>
      <c r="H6" s="4"/>
      <c r="I6" s="4"/>
    </row>
    <row r="7" spans="1:15" ht="18" customHeight="1">
      <c r="A7" s="838">
        <f>'Sch-1'!A7</f>
        <v>0</v>
      </c>
      <c r="B7" s="838"/>
      <c r="C7" s="838"/>
      <c r="D7" s="504" t="s">
        <v>1</v>
      </c>
      <c r="E7" s="596"/>
      <c r="F7" s="596"/>
      <c r="G7" s="596"/>
      <c r="H7" s="596"/>
      <c r="I7" s="596"/>
    </row>
    <row r="8" spans="1:15" ht="18" customHeight="1">
      <c r="A8" s="834" t="str">
        <f>"Bidder’s Name and Address  (" &amp; MID('Names of Bidder'!B9,9, 20) &amp; ") :"</f>
        <v>Bidder’s Name and Address  (Sole Bidder) :</v>
      </c>
      <c r="B8" s="834"/>
      <c r="C8" s="834"/>
      <c r="D8" s="12" t="s">
        <v>2</v>
      </c>
      <c r="E8" s="599"/>
      <c r="F8" s="599"/>
      <c r="G8" s="599"/>
      <c r="H8" s="549"/>
      <c r="I8" s="549"/>
    </row>
    <row r="9" spans="1:15" ht="18" customHeight="1">
      <c r="A9" s="462" t="s">
        <v>12</v>
      </c>
      <c r="B9" s="462" t="str">
        <f>IF('Names of Bidder'!D9=0, "", 'Names of Bidder'!D9)</f>
        <v/>
      </c>
      <c r="C9" s="112"/>
      <c r="D9" s="12" t="s">
        <v>3</v>
      </c>
      <c r="E9" s="598"/>
      <c r="F9" s="598"/>
      <c r="G9" s="598"/>
      <c r="H9" s="445"/>
      <c r="I9" s="409"/>
    </row>
    <row r="10" spans="1:15" ht="18" customHeight="1">
      <c r="A10" s="462" t="s">
        <v>11</v>
      </c>
      <c r="B10" s="597" t="str">
        <f>IF('Names of Bidder'!D10=0, "", 'Names of Bidder'!D10)</f>
        <v/>
      </c>
      <c r="C10" s="112"/>
      <c r="D10" s="12" t="s">
        <v>4</v>
      </c>
      <c r="E10" s="598"/>
      <c r="F10" s="598"/>
      <c r="G10" s="598"/>
      <c r="H10" s="445"/>
      <c r="I10" s="409"/>
    </row>
    <row r="11" spans="1:15" ht="18" customHeight="1">
      <c r="A11" s="409"/>
      <c r="B11" s="597" t="str">
        <f>IF('Names of Bidder'!D11=0, "", 'Names of Bidder'!D11)</f>
        <v/>
      </c>
      <c r="C11" s="112"/>
      <c r="D11" s="12" t="s">
        <v>5</v>
      </c>
      <c r="E11" s="598"/>
      <c r="F11" s="598"/>
      <c r="G11" s="598"/>
      <c r="H11" s="445"/>
      <c r="I11" s="409"/>
    </row>
    <row r="12" spans="1:15" ht="18" customHeight="1">
      <c r="A12" s="409"/>
      <c r="B12" s="597" t="str">
        <f>IF('Names of Bidder'!D12=0, "", 'Names of Bidder'!D12)</f>
        <v/>
      </c>
      <c r="C12" s="112"/>
      <c r="D12" s="12" t="s">
        <v>6</v>
      </c>
      <c r="E12" s="598"/>
      <c r="F12" s="598"/>
      <c r="G12" s="598"/>
      <c r="H12" s="445"/>
      <c r="I12" s="409"/>
    </row>
    <row r="13" spans="1:15" ht="8.1" customHeight="1" thickBot="1">
      <c r="B13" s="141"/>
    </row>
    <row r="14" spans="1:15" ht="21.95" customHeight="1">
      <c r="A14" s="664" t="s">
        <v>130</v>
      </c>
      <c r="B14" s="874" t="s">
        <v>131</v>
      </c>
      <c r="C14" s="874"/>
      <c r="D14" s="875" t="s">
        <v>132</v>
      </c>
      <c r="E14" s="876"/>
      <c r="I14" s="883" t="s">
        <v>133</v>
      </c>
      <c r="J14" s="883"/>
      <c r="K14" s="883"/>
      <c r="M14" s="880" t="s">
        <v>134</v>
      </c>
      <c r="N14" s="880"/>
      <c r="O14" s="880"/>
    </row>
    <row r="15" spans="1:15" ht="29.25" customHeight="1">
      <c r="A15" s="665" t="s">
        <v>135</v>
      </c>
      <c r="B15" s="877" t="s">
        <v>328</v>
      </c>
      <c r="C15" s="877"/>
      <c r="D15" s="878">
        <f>'Sch-1'!P68</f>
        <v>0</v>
      </c>
      <c r="E15" s="879"/>
      <c r="I15" s="388" t="s">
        <v>136</v>
      </c>
      <c r="K15" s="388" t="e">
        <f>ROUND('[6]Sch-1'!U3*#REF!,0)</f>
        <v>#REF!</v>
      </c>
      <c r="M15" s="388" t="s">
        <v>136</v>
      </c>
      <c r="O15" s="97" t="e">
        <f>ROUND('[6]Sch-1'!U5*#REF!,0)</f>
        <v>#REF!</v>
      </c>
    </row>
    <row r="16" spans="1:15" ht="87.75" customHeight="1">
      <c r="A16" s="666"/>
      <c r="B16" s="869" t="s">
        <v>329</v>
      </c>
      <c r="C16" s="869"/>
      <c r="D16" s="881"/>
      <c r="E16" s="882"/>
      <c r="G16" s="98"/>
    </row>
    <row r="17" spans="1:15" ht="25.5" customHeight="1">
      <c r="A17" s="665" t="s">
        <v>137</v>
      </c>
      <c r="B17" s="877" t="s">
        <v>330</v>
      </c>
      <c r="C17" s="877"/>
      <c r="D17" s="878">
        <f>'Sch-3'!R87</f>
        <v>0</v>
      </c>
      <c r="E17" s="879"/>
      <c r="I17" s="388" t="s">
        <v>138</v>
      </c>
      <c r="K17" s="389">
        <f>IF(ISERROR(ROUND((#REF!+#REF!)*#REF!,0)),0, ROUND((#REF!+#REF!)*#REF!,0))</f>
        <v>0</v>
      </c>
      <c r="M17" s="388" t="s">
        <v>138</v>
      </c>
      <c r="O17" s="100">
        <f>IF(ISERROR(ROUND((#REF!+#REF!)*#REF!,0)),0, ROUND((#REF!+#REF!)*#REF!,0))</f>
        <v>0</v>
      </c>
    </row>
    <row r="18" spans="1:15" ht="84" customHeight="1">
      <c r="A18" s="666"/>
      <c r="B18" s="869" t="s">
        <v>331</v>
      </c>
      <c r="C18" s="869"/>
      <c r="D18" s="870"/>
      <c r="E18" s="871"/>
      <c r="G18" s="101"/>
      <c r="I18" s="390" t="e">
        <f>#REF!/'Sch-1'!Y1</f>
        <v>#REF!</v>
      </c>
      <c r="K18" s="387">
        <f>'[6]Sch-1'!U3</f>
        <v>0</v>
      </c>
      <c r="M18" s="390" t="e">
        <f>I18</f>
        <v>#REF!</v>
      </c>
      <c r="O18" s="86">
        <f>'[6]Sch-1'!U5</f>
        <v>0</v>
      </c>
    </row>
    <row r="19" spans="1:15" ht="33" customHeight="1" thickBot="1">
      <c r="A19" s="667"/>
      <c r="B19" s="668" t="s">
        <v>334</v>
      </c>
      <c r="C19" s="669"/>
      <c r="D19" s="867">
        <f>D15+D17</f>
        <v>0</v>
      </c>
      <c r="E19" s="868"/>
    </row>
    <row r="20" spans="1:15" ht="30" customHeight="1">
      <c r="A20" s="102"/>
      <c r="B20" s="102"/>
      <c r="C20" s="103"/>
      <c r="D20" s="102"/>
      <c r="E20" s="102"/>
    </row>
    <row r="21" spans="1:15" ht="30" customHeight="1">
      <c r="A21" s="104" t="s">
        <v>143</v>
      </c>
      <c r="B21" s="672" t="str">
        <f>'Names of Bidder'!D27&amp;" "&amp;'Names of Bidder'!E27&amp;" "&amp;'Names of Bidder'!F27</f>
        <v xml:space="preserve">  </v>
      </c>
      <c r="C21" s="103" t="s">
        <v>144</v>
      </c>
      <c r="D21" s="865" t="str">
        <f>IF('Names of Bidder'!D24="","",'Names of Bidder'!D24)</f>
        <v/>
      </c>
      <c r="E21" s="866"/>
      <c r="F21" s="105"/>
    </row>
    <row r="22" spans="1:15" ht="30" customHeight="1">
      <c r="A22" s="104" t="s">
        <v>145</v>
      </c>
      <c r="B22" s="750" t="str">
        <f>IF('Names of Bidder'!D28="","",'Names of Bidder'!D28)</f>
        <v/>
      </c>
      <c r="C22" s="103" t="s">
        <v>146</v>
      </c>
      <c r="D22" s="865" t="str">
        <f>IF('Names of Bidder'!D25="","",'Names of Bidder'!D25)</f>
        <v/>
      </c>
      <c r="E22" s="866"/>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WeGga9UoJDqAmvahCiRY5Tfpz54cDH9Rf11jZ3BAhPRDGm9/zzSy/Oac0yynGP2pUczT1obBxOaYY2e9O/8skA==" saltValue="b8KRk0j7BRugmUDH517eAQ==" spinCount="100000" sheet="1" formatColumns="0" formatRows="0" selectLockedCells="1"/>
  <dataConsolidate/>
  <customSheetViews>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Atul Kumar Singh {अतुल कुमार सिंह}</cp:lastModifiedBy>
  <cp:lastPrinted>2020-03-02T10:19:24Z</cp:lastPrinted>
  <dcterms:created xsi:type="dcterms:W3CDTF">2014-08-12T11:34:40Z</dcterms:created>
  <dcterms:modified xsi:type="dcterms:W3CDTF">2021-12-23T10:46:44Z</dcterms:modified>
</cp:coreProperties>
</file>