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updateLinks="never" codeName="ThisWorkbook" defaultThemeVersion="124226"/>
  <mc:AlternateContent xmlns:mc="http://schemas.openxmlformats.org/markup-compatibility/2006">
    <mc:Choice Requires="x15">
      <x15ac:absPath xmlns:x15ac="http://schemas.microsoft.com/office/spreadsheetml/2010/11/ac" url="X:\15_C K KAMAT\01-RTM\03-400 KV GIS Extension package at Gorakhpur SS\3- Bid Doc\"/>
    </mc:Choice>
  </mc:AlternateContent>
  <xr:revisionPtr revIDLastSave="0" documentId="13_ncr:1_{E88AFDF4-DC1F-4B48-9CA2-EDAF02C7F058}" xr6:coauthVersionLast="36" xr6:coauthVersionMax="36" xr10:uidLastSave="{00000000-0000-0000-0000-000000000000}"/>
  <workbookProtection workbookAlgorithmName="SHA-512" workbookHashValue="1BDQv1GqSGiBTqAv2VbQoKg/tUtN4+3XchSRUUlU2fnGWWjKLZ7k8rCV8Qr2ZpuHnKTgmqmqx/Tx1g5iOm131w==" workbookSaltValue="7hz8lzyyCnKHZM55OJZAxQ==" workbookSpinCount="100000" revisionsAlgorithmName="SHA-512" revisionsHashValue="9EmlpaAyAvAohjvWpIAtJAjLtlcTI8wyrzg/FSQ3UwaZDFHQL/PcUqUIEI70CmyPhMHvUenoqmSeSmyS8djFHg==" revisionsSaltValue="U0jxOQQ85uOwSiBvOt3UYw==" revisionsSpinCount="100000" lockStructure="1" lockRevision="1"/>
  <bookViews>
    <workbookView xWindow="360" yWindow="480" windowWidth="10515" windowHeight="4320" tabRatio="670" firstSheet="3"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'Sch-1'!#REF!</definedName>
    <definedName name="_xlnm._FilterDatabase" localSheetId="5" hidden="1">'Sch-2'!$A$17:$AF$127</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Bidder'!$B$1:$H$28</definedName>
    <definedName name="_xlnm.Print_Area" localSheetId="15">Octroi!$A$1:$E$16</definedName>
    <definedName name="_xlnm.Print_Area" localSheetId="17">'Other Taxes &amp; Duties'!$A$1:$F$16</definedName>
    <definedName name="_xlnm.Print_Area" localSheetId="4">'Sch-1'!$A$1:$N$133</definedName>
    <definedName name="_xlnm.Print_Area" localSheetId="5">'Sch-2'!$A$1:$J$130</definedName>
    <definedName name="_xlnm.Print_Area" localSheetId="6">'Sch-3'!$A$1:$P$110</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A89170_4F84_482D_A3C5_7890082E7B73_.wvu.Cols" localSheetId="0" hidden="1">Basic!$I:$I</definedName>
    <definedName name="Z_12A89170_4F84_482D_A3C5_7890082E7B73_.wvu.Cols" localSheetId="18" hidden="1">'Bid Form 2nd Envelope'!$H:$AO</definedName>
    <definedName name="Z_12A89170_4F84_482D_A3C5_7890082E7B73_.wvu.Cols" localSheetId="14" hidden="1">Discount!$H:$L</definedName>
    <definedName name="Z_12A89170_4F84_482D_A3C5_7890082E7B73_.wvu.Cols" localSheetId="3" hidden="1">'Names of Bidder'!$H:$H,'Names of Bidder'!$K:$K</definedName>
    <definedName name="Z_12A89170_4F84_482D_A3C5_7890082E7B73_.wvu.Cols" localSheetId="21" hidden="1">'N-W (Cr.)'!$A:$O,'N-W (Cr.)'!$T:$DL</definedName>
    <definedName name="Z_12A89170_4F84_482D_A3C5_7890082E7B73_.wvu.Cols" localSheetId="4" hidden="1">'Sch-1'!$O:$V,'Sch-1'!$X:$AK</definedName>
    <definedName name="Z_12A89170_4F84_482D_A3C5_7890082E7B73_.wvu.Cols" localSheetId="6" hidden="1">'Sch-3'!$Q:$V</definedName>
    <definedName name="Z_12A89170_4F84_482D_A3C5_7890082E7B73_.wvu.Cols" localSheetId="8" hidden="1">'Sch-5'!$F:$T</definedName>
    <definedName name="Z_12A89170_4F84_482D_A3C5_7890082E7B73_.wvu.Cols" localSheetId="12" hidden="1">'Sch-6 (After Discount)'!$E:$F</definedName>
    <definedName name="Z_12A89170_4F84_482D_A3C5_7890082E7B73_.wvu.Cols" localSheetId="13" hidden="1">'Sch-7'!$AA:$AG</definedName>
    <definedName name="Z_12A89170_4F84_482D_A3C5_7890082E7B73_.wvu.FilterData" localSheetId="4" hidden="1">'Sch-1'!$A$17:$IV$129</definedName>
    <definedName name="Z_12A89170_4F84_482D_A3C5_7890082E7B73_.wvu.FilterData" localSheetId="5" hidden="1">'Sch-2'!$A$17:$AF$127</definedName>
    <definedName name="Z_12A89170_4F84_482D_A3C5_7890082E7B73_.wvu.PrintArea" localSheetId="18" hidden="1">'Bid Form 2nd Envelope'!$A$1:$F$67</definedName>
    <definedName name="Z_12A89170_4F84_482D_A3C5_7890082E7B73_.wvu.PrintArea" localSheetId="14" hidden="1">Discount!$A$2:$G$40</definedName>
    <definedName name="Z_12A89170_4F84_482D_A3C5_7890082E7B73_.wvu.PrintArea" localSheetId="16" hidden="1">'Entry Tax'!$A$1:$E$16</definedName>
    <definedName name="Z_12A89170_4F84_482D_A3C5_7890082E7B73_.wvu.PrintArea" localSheetId="2" hidden="1">Instructions!$A$1:$C$65</definedName>
    <definedName name="Z_12A89170_4F84_482D_A3C5_7890082E7B73_.wvu.PrintArea" localSheetId="3" hidden="1">'Names of Bidder'!$B$1:$H$28</definedName>
    <definedName name="Z_12A89170_4F84_482D_A3C5_7890082E7B73_.wvu.PrintArea" localSheetId="15" hidden="1">Octroi!$A$1:$E$16</definedName>
    <definedName name="Z_12A89170_4F84_482D_A3C5_7890082E7B73_.wvu.PrintArea" localSheetId="17" hidden="1">'Other Taxes &amp; Duties'!$A$1:$F$16</definedName>
    <definedName name="Z_12A89170_4F84_482D_A3C5_7890082E7B73_.wvu.PrintArea" localSheetId="4" hidden="1">'Sch-1'!$A$1:$N$133</definedName>
    <definedName name="Z_12A89170_4F84_482D_A3C5_7890082E7B73_.wvu.PrintArea" localSheetId="5" hidden="1">'Sch-2'!$A$1:$J$130</definedName>
    <definedName name="Z_12A89170_4F84_482D_A3C5_7890082E7B73_.wvu.PrintArea" localSheetId="6" hidden="1">'Sch-3'!$A$1:$P$110</definedName>
    <definedName name="Z_12A89170_4F84_482D_A3C5_7890082E7B73_.wvu.PrintArea" localSheetId="7" hidden="1">'Sch-4'!$A$1:$P$26</definedName>
    <definedName name="Z_12A89170_4F84_482D_A3C5_7890082E7B73_.wvu.PrintArea" localSheetId="8" hidden="1">'Sch-5'!$A$1:$E$23</definedName>
    <definedName name="Z_12A89170_4F84_482D_A3C5_7890082E7B73_.wvu.PrintArea" localSheetId="9" hidden="1">'Sch-5 after discount'!$A$1:$E$23</definedName>
    <definedName name="Z_12A89170_4F84_482D_A3C5_7890082E7B73_.wvu.PrintArea" localSheetId="10" hidden="1">'Sch-6'!$A$1:$D$32</definedName>
    <definedName name="Z_12A89170_4F84_482D_A3C5_7890082E7B73_.wvu.PrintArea" localSheetId="12" hidden="1">'Sch-6 (After Discount)'!$A$1:$D$32</definedName>
    <definedName name="Z_12A89170_4F84_482D_A3C5_7890082E7B73_.wvu.PrintArea" localSheetId="11" hidden="1">'Sch-6 After Discount'!$A$1:$D$31</definedName>
    <definedName name="Z_12A89170_4F84_482D_A3C5_7890082E7B73_.wvu.PrintArea" localSheetId="13" hidden="1">'Sch-7'!$A$1:$M$22</definedName>
    <definedName name="Z_12A89170_4F84_482D_A3C5_7890082E7B73_.wvu.PrintTitles" localSheetId="4" hidden="1">'Sch-1'!$15:$16</definedName>
    <definedName name="Z_12A89170_4F84_482D_A3C5_7890082E7B73_.wvu.PrintTitles" localSheetId="5" hidden="1">'Sch-2'!$15:$16</definedName>
    <definedName name="Z_12A89170_4F84_482D_A3C5_7890082E7B73_.wvu.PrintTitles" localSheetId="6" hidden="1">'Sch-3'!$15:$16</definedName>
    <definedName name="Z_12A89170_4F84_482D_A3C5_7890082E7B73_.wvu.PrintTitles" localSheetId="8" hidden="1">'Sch-5'!$3:$14</definedName>
    <definedName name="Z_12A89170_4F84_482D_A3C5_7890082E7B73_.wvu.PrintTitles" localSheetId="9" hidden="1">'Sch-5 after discount'!$3:$14</definedName>
    <definedName name="Z_12A89170_4F84_482D_A3C5_7890082E7B73_.wvu.PrintTitles" localSheetId="10" hidden="1">'Sch-6'!$3:$14</definedName>
    <definedName name="Z_12A89170_4F84_482D_A3C5_7890082E7B73_.wvu.PrintTitles" localSheetId="12" hidden="1">'Sch-6 (After Discount)'!$3:$14</definedName>
    <definedName name="Z_12A89170_4F84_482D_A3C5_7890082E7B73_.wvu.PrintTitles" localSheetId="11" hidden="1">'Sch-6 After Discount'!$3:$13</definedName>
    <definedName name="Z_12A89170_4F84_482D_A3C5_7890082E7B73_.wvu.Rows" localSheetId="1" hidden="1">Cover!$7:$7</definedName>
    <definedName name="Z_12A89170_4F84_482D_A3C5_7890082E7B73_.wvu.Rows" localSheetId="14" hidden="1">Discount!$29:$32</definedName>
    <definedName name="Z_12A89170_4F84_482D_A3C5_7890082E7B73_.wvu.Rows" localSheetId="3" hidden="1">'Names of Bidder'!$19:$22</definedName>
    <definedName name="Z_12A89170_4F84_482D_A3C5_7890082E7B7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'Sch-1'!$C$1:$C$129</definedName>
    <definedName name="Z_357C9841_BEC3_434B_AC63_C04FB4321BA3_.wvu.FilterData" localSheetId="5" hidden="1">'Sch-2'!$C$1:$C$132</definedName>
    <definedName name="Z_357C9841_BEC3_434B_AC63_C04FB4321BA3_.wvu.FilterData" localSheetId="6" hidden="1">'Sch-3'!$C$1:$C$112</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'Sch-1'!$A$1:$N$133</definedName>
    <definedName name="Z_357C9841_BEC3_434B_AC63_C04FB4321BA3_.wvu.PrintArea" localSheetId="5" hidden="1">'Sch-2'!$A$1:$J$132</definedName>
    <definedName name="Z_357C9841_BEC3_434B_AC63_C04FB4321BA3_.wvu.PrintArea" localSheetId="6" hidden="1">'Sch-3'!$A$1:$P$112</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'Sch-1'!$C$1:$C$129</definedName>
    <definedName name="Z_3C00DDA0_7DDE_4169_A739_550DAF5DCF8D_.wvu.FilterData" localSheetId="5" hidden="1">'Sch-2'!$C$1:$C$132</definedName>
    <definedName name="Z_3C00DDA0_7DDE_4169_A739_550DAF5DCF8D_.wvu.FilterData" localSheetId="6" hidden="1">'Sch-3'!$C$1:$C$112</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'Sch-1'!$A$1:$N$133</definedName>
    <definedName name="Z_3C00DDA0_7DDE_4169_A739_550DAF5DCF8D_.wvu.PrintArea" localSheetId="5" hidden="1">'Sch-2'!$A$1:$J$132</definedName>
    <definedName name="Z_3C00DDA0_7DDE_4169_A739_550DAF5DCF8D_.wvu.PrintArea" localSheetId="6" hidden="1">'Sch-3'!$A$1:$P$112</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97EA202_A8B8_45C5_9E6C_C3CD104F3979_.wvu.Cols" localSheetId="0" hidden="1">Basic!$I:$I</definedName>
    <definedName name="Z_497EA202_A8B8_45C5_9E6C_C3CD104F3979_.wvu.Cols" localSheetId="18" hidden="1">'Bid Form 2nd Envelope'!$H:$AO</definedName>
    <definedName name="Z_497EA202_A8B8_45C5_9E6C_C3CD104F3979_.wvu.Cols" localSheetId="14" hidden="1">Discount!$H:$L</definedName>
    <definedName name="Z_497EA202_A8B8_45C5_9E6C_C3CD104F3979_.wvu.Cols" localSheetId="3" hidden="1">'Names of Bidder'!$H:$H,'Names of Bidder'!$K:$K</definedName>
    <definedName name="Z_497EA202_A8B8_45C5_9E6C_C3CD104F3979_.wvu.Cols" localSheetId="21" hidden="1">'N-W (Cr.)'!$A:$O,'N-W (Cr.)'!$T:$DL</definedName>
    <definedName name="Z_497EA202_A8B8_45C5_9E6C_C3CD104F3979_.wvu.Cols" localSheetId="4" hidden="1">'Sch-1'!$O:$T,'Sch-1'!$X:$AK</definedName>
    <definedName name="Z_497EA202_A8B8_45C5_9E6C_C3CD104F3979_.wvu.Cols" localSheetId="6" hidden="1">'Sch-3'!$Q:$V</definedName>
    <definedName name="Z_497EA202_A8B8_45C5_9E6C_C3CD104F3979_.wvu.Cols" localSheetId="8" hidden="1">'Sch-5'!$F:$T</definedName>
    <definedName name="Z_497EA202_A8B8_45C5_9E6C_C3CD104F3979_.wvu.Cols" localSheetId="12" hidden="1">'Sch-6 (After Discount)'!$E:$F</definedName>
    <definedName name="Z_497EA202_A8B8_45C5_9E6C_C3CD104F3979_.wvu.Cols" localSheetId="13" hidden="1">'Sch-7'!$AA:$AG</definedName>
    <definedName name="Z_497EA202_A8B8_45C5_9E6C_C3CD104F3979_.wvu.FilterData" localSheetId="4" hidden="1">'Sch-1'!$16:$129</definedName>
    <definedName name="Z_497EA202_A8B8_45C5_9E6C_C3CD104F3979_.wvu.FilterData" localSheetId="5" hidden="1">'Sch-2'!$A$16:$AF$127</definedName>
    <definedName name="Z_497EA202_A8B8_45C5_9E6C_C3CD104F3979_.wvu.PrintArea" localSheetId="18" hidden="1">'Bid Form 2nd Envelope'!$A$1:$F$67</definedName>
    <definedName name="Z_497EA202_A8B8_45C5_9E6C_C3CD104F3979_.wvu.PrintArea" localSheetId="14" hidden="1">Discount!$A$2:$G$40</definedName>
    <definedName name="Z_497EA202_A8B8_45C5_9E6C_C3CD104F3979_.wvu.PrintArea" localSheetId="16" hidden="1">'Entry Tax'!$A$1:$E$16</definedName>
    <definedName name="Z_497EA202_A8B8_45C5_9E6C_C3CD104F3979_.wvu.PrintArea" localSheetId="2" hidden="1">Instructions!$A$1:$C$65</definedName>
    <definedName name="Z_497EA202_A8B8_45C5_9E6C_C3CD104F3979_.wvu.PrintArea" localSheetId="3" hidden="1">'Names of Bidder'!$B$1:$G$28</definedName>
    <definedName name="Z_497EA202_A8B8_45C5_9E6C_C3CD104F3979_.wvu.PrintArea" localSheetId="15" hidden="1">Octroi!$A$1:$E$16</definedName>
    <definedName name="Z_497EA202_A8B8_45C5_9E6C_C3CD104F3979_.wvu.PrintArea" localSheetId="17" hidden="1">'Other Taxes &amp; Duties'!$A$1:$F$16</definedName>
    <definedName name="Z_497EA202_A8B8_45C5_9E6C_C3CD104F3979_.wvu.PrintArea" localSheetId="4" hidden="1">'Sch-1'!$A$1:$N$133</definedName>
    <definedName name="Z_497EA202_A8B8_45C5_9E6C_C3CD104F3979_.wvu.PrintArea" localSheetId="5" hidden="1">'Sch-2'!$A$1:$J$130</definedName>
    <definedName name="Z_497EA202_A8B8_45C5_9E6C_C3CD104F3979_.wvu.PrintArea" localSheetId="6" hidden="1">'Sch-3'!$A$1:$P$110</definedName>
    <definedName name="Z_497EA202_A8B8_45C5_9E6C_C3CD104F3979_.wvu.PrintArea" localSheetId="7" hidden="1">'Sch-4'!$A$1:$P$26</definedName>
    <definedName name="Z_497EA202_A8B8_45C5_9E6C_C3CD104F3979_.wvu.PrintArea" localSheetId="8" hidden="1">'Sch-5'!$A$1:$E$23</definedName>
    <definedName name="Z_497EA202_A8B8_45C5_9E6C_C3CD104F3979_.wvu.PrintArea" localSheetId="9" hidden="1">'Sch-5 after discount'!$A$1:$E$23</definedName>
    <definedName name="Z_497EA202_A8B8_45C5_9E6C_C3CD104F3979_.wvu.PrintArea" localSheetId="10" hidden="1">'Sch-6'!$A$1:$D$32</definedName>
    <definedName name="Z_497EA202_A8B8_45C5_9E6C_C3CD104F3979_.wvu.PrintArea" localSheetId="12" hidden="1">'Sch-6 (After Discount)'!$A$1:$D$32</definedName>
    <definedName name="Z_497EA202_A8B8_45C5_9E6C_C3CD104F3979_.wvu.PrintArea" localSheetId="11" hidden="1">'Sch-6 After Discount'!$A$1:$D$31</definedName>
    <definedName name="Z_497EA202_A8B8_45C5_9E6C_C3CD104F3979_.wvu.PrintArea" localSheetId="13" hidden="1">'Sch-7'!$A$1:$M$22</definedName>
    <definedName name="Z_497EA202_A8B8_45C5_9E6C_C3CD104F3979_.wvu.PrintTitles" localSheetId="4" hidden="1">'Sch-1'!$15:$16</definedName>
    <definedName name="Z_497EA202_A8B8_45C5_9E6C_C3CD104F3979_.wvu.PrintTitles" localSheetId="5" hidden="1">'Sch-2'!$15:$16</definedName>
    <definedName name="Z_497EA202_A8B8_45C5_9E6C_C3CD104F3979_.wvu.PrintTitles" localSheetId="6" hidden="1">'Sch-3'!$15:$16</definedName>
    <definedName name="Z_497EA202_A8B8_45C5_9E6C_C3CD104F3979_.wvu.PrintTitles" localSheetId="8" hidden="1">'Sch-5'!$3:$14</definedName>
    <definedName name="Z_497EA202_A8B8_45C5_9E6C_C3CD104F3979_.wvu.PrintTitles" localSheetId="9" hidden="1">'Sch-5 after discount'!$3:$14</definedName>
    <definedName name="Z_497EA202_A8B8_45C5_9E6C_C3CD104F3979_.wvu.PrintTitles" localSheetId="10" hidden="1">'Sch-6'!$3:$14</definedName>
    <definedName name="Z_497EA202_A8B8_45C5_9E6C_C3CD104F3979_.wvu.PrintTitles" localSheetId="12" hidden="1">'Sch-6 (After Discount)'!$3:$14</definedName>
    <definedName name="Z_497EA202_A8B8_45C5_9E6C_C3CD104F3979_.wvu.PrintTitles" localSheetId="11" hidden="1">'Sch-6 After Discount'!$3:$13</definedName>
    <definedName name="Z_497EA202_A8B8_45C5_9E6C_C3CD104F3979_.wvu.Rows" localSheetId="1" hidden="1">Cover!$7:$7</definedName>
    <definedName name="Z_497EA202_A8B8_45C5_9E6C_C3CD104F3979_.wvu.Rows" localSheetId="14" hidden="1">Discount!$29:$32</definedName>
    <definedName name="Z_497EA202_A8B8_45C5_9E6C_C3CD104F3979_.wvu.Rows" localSheetId="3" hidden="1">'Names of Bidder'!$19:$22</definedName>
    <definedName name="Z_497EA202_A8B8_45C5_9E6C_C3CD104F3979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'Sch-1'!$O:$V,'Sch-1'!$X:$AK</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'Sch-1'!$A$17:$IV$129</definedName>
    <definedName name="Z_63D51328_7CBC_4A1E_B96D_BAE91416501B_.wvu.FilterData" localSheetId="5" hidden="1">'Sch-2'!$A$17:$AF$127</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'Sch-1'!$A$1:$N$133</definedName>
    <definedName name="Z_63D51328_7CBC_4A1E_B96D_BAE91416501B_.wvu.PrintArea" localSheetId="5" hidden="1">'Sch-2'!$A$1:$J$130</definedName>
    <definedName name="Z_63D51328_7CBC_4A1E_B96D_BAE91416501B_.wvu.PrintArea" localSheetId="6" hidden="1">'Sch-3'!$A$1:$P$110</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AB1F867_F01E_4EB9_A93D_DDCFDB9AA444_.wvu.Cols" localSheetId="0" hidden="1">Basic!$I:$I</definedName>
    <definedName name="Z_7AB1F867_F01E_4EB9_A93D_DDCFDB9AA444_.wvu.Cols" localSheetId="18" hidden="1">'Bid Form 2nd Envelope'!$H:$AO</definedName>
    <definedName name="Z_7AB1F867_F01E_4EB9_A93D_DDCFDB9AA444_.wvu.Cols" localSheetId="14" hidden="1">Discount!$H:$L</definedName>
    <definedName name="Z_7AB1F867_F01E_4EB9_A93D_DDCFDB9AA444_.wvu.Cols" localSheetId="3" hidden="1">'Names of Bidder'!$H:$H,'Names of Bidder'!$K:$K</definedName>
    <definedName name="Z_7AB1F867_F01E_4EB9_A93D_DDCFDB9AA444_.wvu.Cols" localSheetId="21" hidden="1">'N-W (Cr.)'!$A:$O,'N-W (Cr.)'!$T:$DL</definedName>
    <definedName name="Z_7AB1F867_F01E_4EB9_A93D_DDCFDB9AA444_.wvu.Cols" localSheetId="4" hidden="1">'Sch-1'!$O:$V,'Sch-1'!$X:$AK</definedName>
    <definedName name="Z_7AB1F867_F01E_4EB9_A93D_DDCFDB9AA444_.wvu.Cols" localSheetId="6" hidden="1">'Sch-3'!$Q:$V</definedName>
    <definedName name="Z_7AB1F867_F01E_4EB9_A93D_DDCFDB9AA444_.wvu.Cols" localSheetId="8" hidden="1">'Sch-5'!$F:$T</definedName>
    <definedName name="Z_7AB1F867_F01E_4EB9_A93D_DDCFDB9AA444_.wvu.Cols" localSheetId="12" hidden="1">'Sch-6 (After Discount)'!$E:$F</definedName>
    <definedName name="Z_7AB1F867_F01E_4EB9_A93D_DDCFDB9AA444_.wvu.Cols" localSheetId="13" hidden="1">'Sch-7'!$AA:$AG</definedName>
    <definedName name="Z_7AB1F867_F01E_4EB9_A93D_DDCFDB9AA444_.wvu.FilterData" localSheetId="4" hidden="1">'Sch-1'!$A$17:$IV$129</definedName>
    <definedName name="Z_7AB1F867_F01E_4EB9_A93D_DDCFDB9AA444_.wvu.FilterData" localSheetId="5" hidden="1">'Sch-2'!$A$17:$AF$127</definedName>
    <definedName name="Z_7AB1F867_F01E_4EB9_A93D_DDCFDB9AA444_.wvu.PrintArea" localSheetId="18" hidden="1">'Bid Form 2nd Envelope'!$A$1:$F$67</definedName>
    <definedName name="Z_7AB1F867_F01E_4EB9_A93D_DDCFDB9AA444_.wvu.PrintArea" localSheetId="14" hidden="1">Discount!$A$2:$G$40</definedName>
    <definedName name="Z_7AB1F867_F01E_4EB9_A93D_DDCFDB9AA444_.wvu.PrintArea" localSheetId="16" hidden="1">'Entry Tax'!$A$1:$E$16</definedName>
    <definedName name="Z_7AB1F867_F01E_4EB9_A93D_DDCFDB9AA444_.wvu.PrintArea" localSheetId="2" hidden="1">Instructions!$A$1:$C$65</definedName>
    <definedName name="Z_7AB1F867_F01E_4EB9_A93D_DDCFDB9AA444_.wvu.PrintArea" localSheetId="3" hidden="1">'Names of Bidder'!$B$1:$H$28</definedName>
    <definedName name="Z_7AB1F867_F01E_4EB9_A93D_DDCFDB9AA444_.wvu.PrintArea" localSheetId="15" hidden="1">Octroi!$A$1:$E$16</definedName>
    <definedName name="Z_7AB1F867_F01E_4EB9_A93D_DDCFDB9AA444_.wvu.PrintArea" localSheetId="17" hidden="1">'Other Taxes &amp; Duties'!$A$1:$F$16</definedName>
    <definedName name="Z_7AB1F867_F01E_4EB9_A93D_DDCFDB9AA444_.wvu.PrintArea" localSheetId="4" hidden="1">'Sch-1'!$A$1:$N$133</definedName>
    <definedName name="Z_7AB1F867_F01E_4EB9_A93D_DDCFDB9AA444_.wvu.PrintArea" localSheetId="5" hidden="1">'Sch-2'!$A$1:$J$130</definedName>
    <definedName name="Z_7AB1F867_F01E_4EB9_A93D_DDCFDB9AA444_.wvu.PrintArea" localSheetId="6" hidden="1">'Sch-3'!$A$1:$P$110</definedName>
    <definedName name="Z_7AB1F867_F01E_4EB9_A93D_DDCFDB9AA444_.wvu.PrintArea" localSheetId="7" hidden="1">'Sch-4'!$A$1:$P$26</definedName>
    <definedName name="Z_7AB1F867_F01E_4EB9_A93D_DDCFDB9AA444_.wvu.PrintArea" localSheetId="8" hidden="1">'Sch-5'!$A$1:$E$23</definedName>
    <definedName name="Z_7AB1F867_F01E_4EB9_A93D_DDCFDB9AA444_.wvu.PrintArea" localSheetId="9" hidden="1">'Sch-5 after discount'!$A$1:$E$23</definedName>
    <definedName name="Z_7AB1F867_F01E_4EB9_A93D_DDCFDB9AA444_.wvu.PrintArea" localSheetId="10" hidden="1">'Sch-6'!$A$1:$D$32</definedName>
    <definedName name="Z_7AB1F867_F01E_4EB9_A93D_DDCFDB9AA444_.wvu.PrintArea" localSheetId="12" hidden="1">'Sch-6 (After Discount)'!$A$1:$D$32</definedName>
    <definedName name="Z_7AB1F867_F01E_4EB9_A93D_DDCFDB9AA444_.wvu.PrintArea" localSheetId="11" hidden="1">'Sch-6 After Discount'!$A$1:$D$31</definedName>
    <definedName name="Z_7AB1F867_F01E_4EB9_A93D_DDCFDB9AA444_.wvu.PrintArea" localSheetId="13" hidden="1">'Sch-7'!$A$1:$M$22</definedName>
    <definedName name="Z_7AB1F867_F01E_4EB9_A93D_DDCFDB9AA444_.wvu.PrintTitles" localSheetId="4" hidden="1">'Sch-1'!$15:$16</definedName>
    <definedName name="Z_7AB1F867_F01E_4EB9_A93D_DDCFDB9AA444_.wvu.PrintTitles" localSheetId="5" hidden="1">'Sch-2'!$15:$16</definedName>
    <definedName name="Z_7AB1F867_F01E_4EB9_A93D_DDCFDB9AA444_.wvu.PrintTitles" localSheetId="6" hidden="1">'Sch-3'!$15:$16</definedName>
    <definedName name="Z_7AB1F867_F01E_4EB9_A93D_DDCFDB9AA444_.wvu.PrintTitles" localSheetId="8" hidden="1">'Sch-5'!$3:$14</definedName>
    <definedName name="Z_7AB1F867_F01E_4EB9_A93D_DDCFDB9AA444_.wvu.PrintTitles" localSheetId="9" hidden="1">'Sch-5 after discount'!$3:$14</definedName>
    <definedName name="Z_7AB1F867_F01E_4EB9_A93D_DDCFDB9AA444_.wvu.PrintTitles" localSheetId="10" hidden="1">'Sch-6'!$3:$14</definedName>
    <definedName name="Z_7AB1F867_F01E_4EB9_A93D_DDCFDB9AA444_.wvu.PrintTitles" localSheetId="12" hidden="1">'Sch-6 (After Discount)'!$3:$14</definedName>
    <definedName name="Z_7AB1F867_F01E_4EB9_A93D_DDCFDB9AA444_.wvu.PrintTitles" localSheetId="11" hidden="1">'Sch-6 After Discount'!$3:$13</definedName>
    <definedName name="Z_7AB1F867_F01E_4EB9_A93D_DDCFDB9AA444_.wvu.Rows" localSheetId="1" hidden="1">Cover!$7:$7</definedName>
    <definedName name="Z_7AB1F867_F01E_4EB9_A93D_DDCFDB9AA444_.wvu.Rows" localSheetId="14" hidden="1">Discount!$29:$32</definedName>
    <definedName name="Z_7AB1F867_F01E_4EB9_A93D_DDCFDB9AA444_.wvu.Rows" localSheetId="3" hidden="1">'Names of Bidder'!$19:$22</definedName>
    <definedName name="Z_7AB1F867_F01E_4EB9_A93D_DDCFDB9AA444_.wvu.Rows" localSheetId="13" hidden="1">'Sch-7'!$62:$180</definedName>
    <definedName name="Z_858F61A7_D995_4540_8BB4_0D5C12D88289_.wvu.Cols" localSheetId="0" hidden="1">Basic!$I:$I</definedName>
    <definedName name="Z_858F61A7_D995_4540_8BB4_0D5C12D88289_.wvu.Cols" localSheetId="18" hidden="1">'Bid Form 2nd Envelope'!$H:$AO</definedName>
    <definedName name="Z_858F61A7_D995_4540_8BB4_0D5C12D88289_.wvu.Cols" localSheetId="14" hidden="1">Discount!$H:$L</definedName>
    <definedName name="Z_858F61A7_D995_4540_8BB4_0D5C12D88289_.wvu.Cols" localSheetId="3" hidden="1">'Names of Bidder'!$H:$H,'Names of Bidder'!$K:$K</definedName>
    <definedName name="Z_858F61A7_D995_4540_8BB4_0D5C12D88289_.wvu.Cols" localSheetId="21" hidden="1">'N-W (Cr.)'!$A:$O,'N-W (Cr.)'!$T:$DL</definedName>
    <definedName name="Z_858F61A7_D995_4540_8BB4_0D5C12D88289_.wvu.Cols" localSheetId="4" hidden="1">'Sch-1'!$O:$AL</definedName>
    <definedName name="Z_858F61A7_D995_4540_8BB4_0D5C12D88289_.wvu.Cols" localSheetId="6" hidden="1">'Sch-3'!$Q:$X</definedName>
    <definedName name="Z_858F61A7_D995_4540_8BB4_0D5C12D88289_.wvu.Cols" localSheetId="8" hidden="1">'Sch-5'!$F:$T</definedName>
    <definedName name="Z_858F61A7_D995_4540_8BB4_0D5C12D88289_.wvu.Cols" localSheetId="12" hidden="1">'Sch-6 (After Discount)'!$E:$F</definedName>
    <definedName name="Z_858F61A7_D995_4540_8BB4_0D5C12D88289_.wvu.Cols" localSheetId="13" hidden="1">'Sch-7'!$AA:$AG</definedName>
    <definedName name="Z_858F61A7_D995_4540_8BB4_0D5C12D88289_.wvu.FilterData" localSheetId="5" hidden="1">'Sch-2'!$A$17:$AF$127</definedName>
    <definedName name="Z_858F61A7_D995_4540_8BB4_0D5C12D88289_.wvu.PrintArea" localSheetId="18" hidden="1">'Bid Form 2nd Envelope'!$A$1:$F$67</definedName>
    <definedName name="Z_858F61A7_D995_4540_8BB4_0D5C12D88289_.wvu.PrintArea" localSheetId="14" hidden="1">Discount!$A$2:$G$40</definedName>
    <definedName name="Z_858F61A7_D995_4540_8BB4_0D5C12D88289_.wvu.PrintArea" localSheetId="16" hidden="1">'Entry Tax'!$A$1:$E$16</definedName>
    <definedName name="Z_858F61A7_D995_4540_8BB4_0D5C12D88289_.wvu.PrintArea" localSheetId="2" hidden="1">Instructions!$A$1:$C$65</definedName>
    <definedName name="Z_858F61A7_D995_4540_8BB4_0D5C12D88289_.wvu.PrintArea" localSheetId="3" hidden="1">'Names of Bidder'!$B$1:$H$28</definedName>
    <definedName name="Z_858F61A7_D995_4540_8BB4_0D5C12D88289_.wvu.PrintArea" localSheetId="15" hidden="1">Octroi!$A$1:$E$16</definedName>
    <definedName name="Z_858F61A7_D995_4540_8BB4_0D5C12D88289_.wvu.PrintArea" localSheetId="17" hidden="1">'Other Taxes &amp; Duties'!$A$1:$F$16</definedName>
    <definedName name="Z_858F61A7_D995_4540_8BB4_0D5C12D88289_.wvu.PrintArea" localSheetId="4" hidden="1">'Sch-1'!$A$1:$N$133</definedName>
    <definedName name="Z_858F61A7_D995_4540_8BB4_0D5C12D88289_.wvu.PrintArea" localSheetId="5" hidden="1">'Sch-2'!$A$1:$J$130</definedName>
    <definedName name="Z_858F61A7_D995_4540_8BB4_0D5C12D88289_.wvu.PrintArea" localSheetId="6" hidden="1">'Sch-3'!$A$1:$P$110</definedName>
    <definedName name="Z_858F61A7_D995_4540_8BB4_0D5C12D88289_.wvu.PrintArea" localSheetId="7" hidden="1">'Sch-4'!$A$1:$P$26</definedName>
    <definedName name="Z_858F61A7_D995_4540_8BB4_0D5C12D88289_.wvu.PrintArea" localSheetId="8" hidden="1">'Sch-5'!$A$1:$E$23</definedName>
    <definedName name="Z_858F61A7_D995_4540_8BB4_0D5C12D88289_.wvu.PrintArea" localSheetId="9" hidden="1">'Sch-5 after discount'!$A$1:$E$23</definedName>
    <definedName name="Z_858F61A7_D995_4540_8BB4_0D5C12D88289_.wvu.PrintArea" localSheetId="10" hidden="1">'Sch-6'!$A$1:$D$32</definedName>
    <definedName name="Z_858F61A7_D995_4540_8BB4_0D5C12D88289_.wvu.PrintArea" localSheetId="12" hidden="1">'Sch-6 (After Discount)'!$A$1:$D$32</definedName>
    <definedName name="Z_858F61A7_D995_4540_8BB4_0D5C12D88289_.wvu.PrintArea" localSheetId="11" hidden="1">'Sch-6 After Discount'!$A$1:$D$31</definedName>
    <definedName name="Z_858F61A7_D995_4540_8BB4_0D5C12D88289_.wvu.PrintArea" localSheetId="13" hidden="1">'Sch-7'!$A$1:$M$22</definedName>
    <definedName name="Z_858F61A7_D995_4540_8BB4_0D5C12D88289_.wvu.PrintTitles" localSheetId="4" hidden="1">'Sch-1'!$15:$16</definedName>
    <definedName name="Z_858F61A7_D995_4540_8BB4_0D5C12D88289_.wvu.PrintTitles" localSheetId="5" hidden="1">'Sch-2'!$15:$16</definedName>
    <definedName name="Z_858F61A7_D995_4540_8BB4_0D5C12D88289_.wvu.PrintTitles" localSheetId="6" hidden="1">'Sch-3'!$15:$16</definedName>
    <definedName name="Z_858F61A7_D995_4540_8BB4_0D5C12D88289_.wvu.PrintTitles" localSheetId="8" hidden="1">'Sch-5'!$3:$14</definedName>
    <definedName name="Z_858F61A7_D995_4540_8BB4_0D5C12D88289_.wvu.PrintTitles" localSheetId="9" hidden="1">'Sch-5 after discount'!$3:$14</definedName>
    <definedName name="Z_858F61A7_D995_4540_8BB4_0D5C12D88289_.wvu.PrintTitles" localSheetId="10" hidden="1">'Sch-6'!$3:$14</definedName>
    <definedName name="Z_858F61A7_D995_4540_8BB4_0D5C12D88289_.wvu.PrintTitles" localSheetId="12" hidden="1">'Sch-6 (After Discount)'!$3:$14</definedName>
    <definedName name="Z_858F61A7_D995_4540_8BB4_0D5C12D88289_.wvu.PrintTitles" localSheetId="11" hidden="1">'Sch-6 After Discount'!$3:$13</definedName>
    <definedName name="Z_858F61A7_D995_4540_8BB4_0D5C12D88289_.wvu.Rows" localSheetId="1" hidden="1">Cover!$7:$7</definedName>
    <definedName name="Z_858F61A7_D995_4540_8BB4_0D5C12D88289_.wvu.Rows" localSheetId="14" hidden="1">Discount!$29:$32</definedName>
    <definedName name="Z_858F61A7_D995_4540_8BB4_0D5C12D88289_.wvu.Rows" localSheetId="3" hidden="1">'Names of Bidder'!$19:$22</definedName>
    <definedName name="Z_858F61A7_D995_4540_8BB4_0D5C12D88289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'Sch-1'!$16:$129</definedName>
    <definedName name="Z_99CA2F10_F926_46DC_8609_4EAE5B9F3585_.wvu.FilterData" localSheetId="5" hidden="1">'Sch-2'!$A$16:$AF$127</definedName>
    <definedName name="Z_99CA2F10_F926_46DC_8609_4EAE5B9F3585_.wvu.FilterData" localSheetId="6" hidden="1">'Sch-3'!$A$16:$AE$104</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'Sch-1'!$A$1:$N$133</definedName>
    <definedName name="Z_99CA2F10_F926_46DC_8609_4EAE5B9F3585_.wvu.PrintArea" localSheetId="5" hidden="1">'Sch-2'!$A$1:$J$130</definedName>
    <definedName name="Z_99CA2F10_F926_46DC_8609_4EAE5B9F3585_.wvu.PrintArea" localSheetId="6" hidden="1">'Sch-3'!$A$1:$P$110</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'Sch-1'!$C$1:$C$129</definedName>
    <definedName name="Z_B96E710B_6DD7_4DE1_95AB_C9EE060CD030_.wvu.FilterData" localSheetId="5" hidden="1">'Sch-2'!$C$1:$C$132</definedName>
    <definedName name="Z_B96E710B_6DD7_4DE1_95AB_C9EE060CD030_.wvu.FilterData" localSheetId="6" hidden="1">'Sch-3'!$C$1:$C$112</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'Sch-1'!$A$1:$N$133</definedName>
    <definedName name="Z_B96E710B_6DD7_4DE1_95AB_C9EE060CD030_.wvu.PrintArea" localSheetId="5" hidden="1">'Sch-2'!$A$1:$J$132</definedName>
    <definedName name="Z_B96E710B_6DD7_4DE1_95AB_C9EE060CD030_.wvu.PrintArea" localSheetId="6" hidden="1">'Sch-3'!$A$1:$P$112</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1" hidden="1">'N-W (Cr.)'!$C:$C,'N-W (Cr.)'!$H:$H,'N-W (Cr.)'!$M:$M,'N-W (Cr.)'!$R:$R</definedName>
    <definedName name="Z_CA9345C4_09FE_4F27_BFD9_3D9BCD2DED09_.wvu.Cols" localSheetId="0" hidden="1">Basic!$I:$I</definedName>
    <definedName name="Z_CA9345C4_09FE_4F27_BFD9_3D9BCD2DED09_.wvu.Cols" localSheetId="18" hidden="1">'Bid Form 2nd Envelope'!$H:$AO</definedName>
    <definedName name="Z_CA9345C4_09FE_4F27_BFD9_3D9BCD2DED09_.wvu.Cols" localSheetId="14" hidden="1">Discount!$H:$L</definedName>
    <definedName name="Z_CA9345C4_09FE_4F27_BFD9_3D9BCD2DED09_.wvu.Cols" localSheetId="3" hidden="1">'Names of Bidder'!$H:$H,'Names of Bidder'!$K:$K</definedName>
    <definedName name="Z_CA9345C4_09FE_4F27_BFD9_3D9BCD2DED09_.wvu.Cols" localSheetId="21" hidden="1">'N-W (Cr.)'!$A:$O,'N-W (Cr.)'!$T:$DL</definedName>
    <definedName name="Z_CA9345C4_09FE_4F27_BFD9_3D9BCD2DED09_.wvu.Cols" localSheetId="4" hidden="1">'Sch-1'!$O:$V,'Sch-1'!$X:$AK</definedName>
    <definedName name="Z_CA9345C4_09FE_4F27_BFD9_3D9BCD2DED09_.wvu.Cols" localSheetId="6" hidden="1">'Sch-3'!$Q:$V</definedName>
    <definedName name="Z_CA9345C4_09FE_4F27_BFD9_3D9BCD2DED09_.wvu.Cols" localSheetId="8" hidden="1">'Sch-5'!$F:$T</definedName>
    <definedName name="Z_CA9345C4_09FE_4F27_BFD9_3D9BCD2DED09_.wvu.Cols" localSheetId="12" hidden="1">'Sch-6 (After Discount)'!$E:$F</definedName>
    <definedName name="Z_CA9345C4_09FE_4F27_BFD9_3D9BCD2DED09_.wvu.Cols" localSheetId="13" hidden="1">'Sch-7'!$AA:$AG</definedName>
    <definedName name="Z_CA9345C4_09FE_4F27_BFD9_3D9BCD2DED09_.wvu.FilterData" localSheetId="4" hidden="1">'Sch-1'!$A$16:$IV$129</definedName>
    <definedName name="Z_CA9345C4_09FE_4F27_BFD9_3D9BCD2DED09_.wvu.FilterData" localSheetId="5" hidden="1">'Sch-2'!$A$17:$AF$127</definedName>
    <definedName name="Z_CA9345C4_09FE_4F27_BFD9_3D9BCD2DED09_.wvu.PrintArea" localSheetId="18" hidden="1">'Bid Form 2nd Envelope'!$A$1:$F$67</definedName>
    <definedName name="Z_CA9345C4_09FE_4F27_BFD9_3D9BCD2DED09_.wvu.PrintArea" localSheetId="1" hidden="1">Cover!$A$1:$F$14</definedName>
    <definedName name="Z_CA9345C4_09FE_4F27_BFD9_3D9BCD2DED09_.wvu.PrintArea" localSheetId="14" hidden="1">Discount!$A$2:$G$40</definedName>
    <definedName name="Z_CA9345C4_09FE_4F27_BFD9_3D9BCD2DED09_.wvu.PrintArea" localSheetId="16" hidden="1">'Entry Tax'!$A$1:$E$16</definedName>
    <definedName name="Z_CA9345C4_09FE_4F27_BFD9_3D9BCD2DED09_.wvu.PrintArea" localSheetId="2" hidden="1">Instructions!$A$1:$C$65</definedName>
    <definedName name="Z_CA9345C4_09FE_4F27_BFD9_3D9BCD2DED09_.wvu.PrintArea" localSheetId="3" hidden="1">'Names of Bidder'!$B$1:$H$28</definedName>
    <definedName name="Z_CA9345C4_09FE_4F27_BFD9_3D9BCD2DED09_.wvu.PrintArea" localSheetId="15" hidden="1">Octroi!$A$1:$E$16</definedName>
    <definedName name="Z_CA9345C4_09FE_4F27_BFD9_3D9BCD2DED09_.wvu.PrintArea" localSheetId="17" hidden="1">'Other Taxes &amp; Duties'!$A$1:$F$16</definedName>
    <definedName name="Z_CA9345C4_09FE_4F27_BFD9_3D9BCD2DED09_.wvu.PrintArea" localSheetId="4" hidden="1">'Sch-1'!$A$1:$N$133</definedName>
    <definedName name="Z_CA9345C4_09FE_4F27_BFD9_3D9BCD2DED09_.wvu.PrintArea" localSheetId="5" hidden="1">'Sch-2'!$A$1:$J$130</definedName>
    <definedName name="Z_CA9345C4_09FE_4F27_BFD9_3D9BCD2DED09_.wvu.PrintArea" localSheetId="6" hidden="1">'Sch-3'!$A$1:$P$110</definedName>
    <definedName name="Z_CA9345C4_09FE_4F27_BFD9_3D9BCD2DED09_.wvu.PrintArea" localSheetId="7" hidden="1">'Sch-4'!$A$1:$P$26</definedName>
    <definedName name="Z_CA9345C4_09FE_4F27_BFD9_3D9BCD2DED09_.wvu.PrintArea" localSheetId="8" hidden="1">'Sch-5'!$A$1:$E$23</definedName>
    <definedName name="Z_CA9345C4_09FE_4F27_BFD9_3D9BCD2DED09_.wvu.PrintArea" localSheetId="9" hidden="1">'Sch-5 after discount'!$A$1:$E$23</definedName>
    <definedName name="Z_CA9345C4_09FE_4F27_BFD9_3D9BCD2DED09_.wvu.PrintArea" localSheetId="10" hidden="1">'Sch-6'!$A$1:$D$32</definedName>
    <definedName name="Z_CA9345C4_09FE_4F27_BFD9_3D9BCD2DED09_.wvu.PrintArea" localSheetId="12" hidden="1">'Sch-6 (After Discount)'!$A$1:$D$32</definedName>
    <definedName name="Z_CA9345C4_09FE_4F27_BFD9_3D9BCD2DED09_.wvu.PrintArea" localSheetId="11" hidden="1">'Sch-6 After Discount'!$A$1:$D$31</definedName>
    <definedName name="Z_CA9345C4_09FE_4F27_BFD9_3D9BCD2DED09_.wvu.PrintArea" localSheetId="13" hidden="1">'Sch-7'!$A$1:$M$22</definedName>
    <definedName name="Z_CA9345C4_09FE_4F27_BFD9_3D9BCD2DED09_.wvu.PrintTitles" localSheetId="4" hidden="1">'Sch-1'!$15:$16</definedName>
    <definedName name="Z_CA9345C4_09FE_4F27_BFD9_3D9BCD2DED09_.wvu.PrintTitles" localSheetId="5" hidden="1">'Sch-2'!$15:$16</definedName>
    <definedName name="Z_CA9345C4_09FE_4F27_BFD9_3D9BCD2DED09_.wvu.PrintTitles" localSheetId="6" hidden="1">'Sch-3'!$15:$16</definedName>
    <definedName name="Z_CA9345C4_09FE_4F27_BFD9_3D9BCD2DED09_.wvu.PrintTitles" localSheetId="8" hidden="1">'Sch-5'!$3:$14</definedName>
    <definedName name="Z_CA9345C4_09FE_4F27_BFD9_3D9BCD2DED09_.wvu.PrintTitles" localSheetId="9" hidden="1">'Sch-5 after discount'!$3:$14</definedName>
    <definedName name="Z_CA9345C4_09FE_4F27_BFD9_3D9BCD2DED09_.wvu.PrintTitles" localSheetId="10" hidden="1">'Sch-6'!$3:$14</definedName>
    <definedName name="Z_CA9345C4_09FE_4F27_BFD9_3D9BCD2DED09_.wvu.PrintTitles" localSheetId="12" hidden="1">'Sch-6 (After Discount)'!$3:$14</definedName>
    <definedName name="Z_CA9345C4_09FE_4F27_BFD9_3D9BCD2DED09_.wvu.PrintTitles" localSheetId="11" hidden="1">'Sch-6 After Discount'!$3:$13</definedName>
    <definedName name="Z_CA9345C4_09FE_4F27_BFD9_3D9BCD2DED09_.wvu.Rows" localSheetId="1" hidden="1">Cover!$7:$7</definedName>
    <definedName name="Z_CA9345C4_09FE_4F27_BFD9_3D9BCD2DED09_.wvu.Rows" localSheetId="14" hidden="1">Discount!$29:$32</definedName>
    <definedName name="Z_CA9345C4_09FE_4F27_BFD9_3D9BCD2DED09_.wvu.Rows" localSheetId="3" hidden="1">'Names of Bidder'!$19:$22</definedName>
    <definedName name="Z_CA9345C4_09FE_4F27_BFD9_3D9BCD2DED09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'Sch-1'!$O:$V,'Sch-1'!$X:$AK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'Sch-1'!#REF!</definedName>
    <definedName name="Z_CCA37BAE_906F_43D5_9FD9_B13563E4B9D7_.wvu.FilterData" localSheetId="5" hidden="1">'Sch-2'!$A$17:$AF$127</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Bidder'!$B$1:$H$28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'Sch-1'!$A$1:$N$133</definedName>
    <definedName name="Z_CCA37BAE_906F_43D5_9FD9_B13563E4B9D7_.wvu.PrintArea" localSheetId="5" hidden="1">'Sch-2'!$A$1:$J$130</definedName>
    <definedName name="Z_CCA37BAE_906F_43D5_9FD9_B13563E4B9D7_.wvu.PrintArea" localSheetId="6" hidden="1">'Sch-3'!$A$1:$P$110</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5521983_A70D_48A3_9506_C0263CBBC57D_.wvu.Cols" localSheetId="0" hidden="1">Basic!$I:$I</definedName>
    <definedName name="Z_D5521983_A70D_48A3_9506_C0263CBBC57D_.wvu.Cols" localSheetId="18" hidden="1">'Bid Form 2nd Envelope'!$H:$AO</definedName>
    <definedName name="Z_D5521983_A70D_48A3_9506_C0263CBBC57D_.wvu.Cols" localSheetId="14" hidden="1">Discount!$H:$L</definedName>
    <definedName name="Z_D5521983_A70D_48A3_9506_C0263CBBC57D_.wvu.Cols" localSheetId="3" hidden="1">'Names of Bidder'!$H:$H,'Names of Bidder'!$K:$K</definedName>
    <definedName name="Z_D5521983_A70D_48A3_9506_C0263CBBC57D_.wvu.Cols" localSheetId="21" hidden="1">'N-W (Cr.)'!$A:$O,'N-W (Cr.)'!$T:$DL</definedName>
    <definedName name="Z_D5521983_A70D_48A3_9506_C0263CBBC57D_.wvu.Cols" localSheetId="4" hidden="1">'Sch-1'!$O:$V,'Sch-1'!$X:$AK</definedName>
    <definedName name="Z_D5521983_A70D_48A3_9506_C0263CBBC57D_.wvu.Cols" localSheetId="6" hidden="1">'Sch-3'!$Q:$V</definedName>
    <definedName name="Z_D5521983_A70D_48A3_9506_C0263CBBC57D_.wvu.Cols" localSheetId="8" hidden="1">'Sch-5'!$F:$T</definedName>
    <definedName name="Z_D5521983_A70D_48A3_9506_C0263CBBC57D_.wvu.Cols" localSheetId="12" hidden="1">'Sch-6 (After Discount)'!$E:$F</definedName>
    <definedName name="Z_D5521983_A70D_48A3_9506_C0263CBBC57D_.wvu.Cols" localSheetId="13" hidden="1">'Sch-7'!$AA:$AG</definedName>
    <definedName name="Z_D5521983_A70D_48A3_9506_C0263CBBC57D_.wvu.FilterData" localSheetId="4" hidden="1">'Sch-1'!$A$17:$IV$129</definedName>
    <definedName name="Z_D5521983_A70D_48A3_9506_C0263CBBC57D_.wvu.FilterData" localSheetId="5" hidden="1">'Sch-2'!$A$17:$AF$127</definedName>
    <definedName name="Z_D5521983_A70D_48A3_9506_C0263CBBC57D_.wvu.PrintArea" localSheetId="18" hidden="1">'Bid Form 2nd Envelope'!$A$1:$F$67</definedName>
    <definedName name="Z_D5521983_A70D_48A3_9506_C0263CBBC57D_.wvu.PrintArea" localSheetId="14" hidden="1">Discount!$A$2:$G$40</definedName>
    <definedName name="Z_D5521983_A70D_48A3_9506_C0263CBBC57D_.wvu.PrintArea" localSheetId="16" hidden="1">'Entry Tax'!$A$1:$E$16</definedName>
    <definedName name="Z_D5521983_A70D_48A3_9506_C0263CBBC57D_.wvu.PrintArea" localSheetId="2" hidden="1">Instructions!$A$1:$C$65</definedName>
    <definedName name="Z_D5521983_A70D_48A3_9506_C0263CBBC57D_.wvu.PrintArea" localSheetId="3" hidden="1">'Names of Bidder'!$B$1:$H$28</definedName>
    <definedName name="Z_D5521983_A70D_48A3_9506_C0263CBBC57D_.wvu.PrintArea" localSheetId="15" hidden="1">Octroi!$A$1:$E$16</definedName>
    <definedName name="Z_D5521983_A70D_48A3_9506_C0263CBBC57D_.wvu.PrintArea" localSheetId="17" hidden="1">'Other Taxes &amp; Duties'!$A$1:$F$16</definedName>
    <definedName name="Z_D5521983_A70D_48A3_9506_C0263CBBC57D_.wvu.PrintArea" localSheetId="4" hidden="1">'Sch-1'!$A$1:$N$133</definedName>
    <definedName name="Z_D5521983_A70D_48A3_9506_C0263CBBC57D_.wvu.PrintArea" localSheetId="5" hidden="1">'Sch-2'!$A$1:$J$130</definedName>
    <definedName name="Z_D5521983_A70D_48A3_9506_C0263CBBC57D_.wvu.PrintArea" localSheetId="6" hidden="1">'Sch-3'!$A$1:$P$110</definedName>
    <definedName name="Z_D5521983_A70D_48A3_9506_C0263CBBC57D_.wvu.PrintArea" localSheetId="7" hidden="1">'Sch-4'!$A$1:$P$26</definedName>
    <definedName name="Z_D5521983_A70D_48A3_9506_C0263CBBC57D_.wvu.PrintArea" localSheetId="8" hidden="1">'Sch-5'!$A$1:$E$23</definedName>
    <definedName name="Z_D5521983_A70D_48A3_9506_C0263CBBC57D_.wvu.PrintArea" localSheetId="9" hidden="1">'Sch-5 after discount'!$A$1:$E$23</definedName>
    <definedName name="Z_D5521983_A70D_48A3_9506_C0263CBBC57D_.wvu.PrintArea" localSheetId="10" hidden="1">'Sch-6'!$A$1:$D$32</definedName>
    <definedName name="Z_D5521983_A70D_48A3_9506_C0263CBBC57D_.wvu.PrintArea" localSheetId="12" hidden="1">'Sch-6 (After Discount)'!$A$1:$D$32</definedName>
    <definedName name="Z_D5521983_A70D_48A3_9506_C0263CBBC57D_.wvu.PrintArea" localSheetId="11" hidden="1">'Sch-6 After Discount'!$A$1:$D$31</definedName>
    <definedName name="Z_D5521983_A70D_48A3_9506_C0263CBBC57D_.wvu.PrintArea" localSheetId="13" hidden="1">'Sch-7'!$A$1:$M$22</definedName>
    <definedName name="Z_D5521983_A70D_48A3_9506_C0263CBBC57D_.wvu.PrintTitles" localSheetId="4" hidden="1">'Sch-1'!$15:$16</definedName>
    <definedName name="Z_D5521983_A70D_48A3_9506_C0263CBBC57D_.wvu.PrintTitles" localSheetId="5" hidden="1">'Sch-2'!$15:$16</definedName>
    <definedName name="Z_D5521983_A70D_48A3_9506_C0263CBBC57D_.wvu.PrintTitles" localSheetId="6" hidden="1">'Sch-3'!$15:$16</definedName>
    <definedName name="Z_D5521983_A70D_48A3_9506_C0263CBBC57D_.wvu.PrintTitles" localSheetId="8" hidden="1">'Sch-5'!$3:$14</definedName>
    <definedName name="Z_D5521983_A70D_48A3_9506_C0263CBBC57D_.wvu.PrintTitles" localSheetId="9" hidden="1">'Sch-5 after discount'!$3:$14</definedName>
    <definedName name="Z_D5521983_A70D_48A3_9506_C0263CBBC57D_.wvu.PrintTitles" localSheetId="10" hidden="1">'Sch-6'!$3:$14</definedName>
    <definedName name="Z_D5521983_A70D_48A3_9506_C0263CBBC57D_.wvu.PrintTitles" localSheetId="12" hidden="1">'Sch-6 (After Discount)'!$3:$14</definedName>
    <definedName name="Z_D5521983_A70D_48A3_9506_C0263CBBC57D_.wvu.PrintTitles" localSheetId="11" hidden="1">'Sch-6 After Discount'!$3:$13</definedName>
    <definedName name="Z_D5521983_A70D_48A3_9506_C0263CBBC57D_.wvu.Rows" localSheetId="1" hidden="1">Cover!$7:$7</definedName>
    <definedName name="Z_D5521983_A70D_48A3_9506_C0263CBBC57D_.wvu.Rows" localSheetId="14" hidden="1">Discount!$29:$32</definedName>
    <definedName name="Z_D5521983_A70D_48A3_9506_C0263CBBC57D_.wvu.Rows" localSheetId="3" hidden="1">'Names of Bidder'!$19:$22</definedName>
    <definedName name="Z_D5521983_A70D_48A3_9506_C0263CBBC57D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Chandra Kr. Kamat {चंद्र कुमार कामत} - Personal View" guid="{858F61A7-D995-4540-8BB4-0D5C12D88289}" mergeInterval="0" personalView="1" maximized="1" xWindow="-8" yWindow="-8" windowWidth="1936" windowHeight="1056" tabRatio="670" activeSheetId="19"/>
    <customWorkbookView name="Umesh Kumar Yadav {उमेश कुमार यादव} - Personal View" guid="{CCA37BAE-906F-43D5-9FD9-B13563E4B9D7}" mergeInterval="0" personalView="1" maximized="1" xWindow="-8" yWindow="-8" windowWidth="1936" windowHeight="1048" tabRatio="670" activeSheetId="19"/>
    <customWorkbookView name="Adil Iqbal Khan {Adil Iqbal Khan} - Personal View" guid="{CA9345C4-09FE-4F27-BFD9-3D9BCD2DED09}" mergeInterval="0" personalView="1" maximized="1" xWindow="-9" yWindow="-9" windowWidth="1938" windowHeight="1048" tabRatio="786" activeSheetId="19"/>
    <customWorkbookView name="Charanya Ambati {चरण्या अंबटि} - Personal View" guid="{7AB1F867-F01E-4EB9-A93D-DDCFDB9AA444}" mergeInterval="0" personalView="1" maximized="1" xWindow="-9" yWindow="-9" windowWidth="1938" windowHeight="1048" tabRatio="786"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Neelam Singh {नीलम सिंह} - Personal View" guid="{497EA202-A8B8-45C5-9E6C-C3CD104F3979}" mergeInterval="0" personalView="1" maximized="1" windowWidth="1916" windowHeight="853" tabRatio="786" activeSheetId="7"/>
    <customWorkbookView name="Rahul {Rahul} - Personal View" guid="{63D51328-7CBC-4A1E-B96D-BAE91416501B}" mergeInterval="0" personalView="1" maximized="1" xWindow="-8" yWindow="-8" windowWidth="1936" windowHeight="1056" tabRatio="786" activeSheetId="5"/>
    <customWorkbookView name="Atul Singh - Personal View" guid="{D5521983-A70D-48A3-9506-C0263CBBC57D}" mergeInterval="0" personalView="1" maximized="1" windowWidth="1362" windowHeight="542" tabRatio="786" activeSheetId="19"/>
    <customWorkbookView name="Atul Kumar Singh {अतुल कुमार सिंह} - Personal View" guid="{12A89170-4F84-482D-A3C5-7890082E7B73}" mergeInterval="0" personalView="1" maximized="1" xWindow="-8" yWindow="-8" windowWidth="1936" windowHeight="1056" tabRatio="786" activeSheetId="19"/>
  </customWorkbookViews>
</workbook>
</file>

<file path=xl/calcChain.xml><?xml version="1.0" encoding="utf-8"?>
<calcChain xmlns="http://schemas.openxmlformats.org/spreadsheetml/2006/main">
  <c r="P19" i="7" l="1"/>
  <c r="Q19" i="7" s="1"/>
  <c r="R19" i="7"/>
  <c r="P20" i="7"/>
  <c r="R20" i="7" s="1"/>
  <c r="Q20" i="7"/>
  <c r="P21" i="7"/>
  <c r="Q21" i="7" s="1"/>
  <c r="R21" i="7"/>
  <c r="P22" i="7"/>
  <c r="R22" i="7" s="1"/>
  <c r="Q22" i="7"/>
  <c r="P23" i="7"/>
  <c r="Q23" i="7" s="1"/>
  <c r="R23" i="7"/>
  <c r="P24" i="7"/>
  <c r="R24" i="7" s="1"/>
  <c r="Q24" i="7"/>
  <c r="P25" i="7"/>
  <c r="Q25" i="7" s="1"/>
  <c r="R25" i="7"/>
  <c r="P26" i="7"/>
  <c r="R26" i="7" s="1"/>
  <c r="Q26" i="7"/>
  <c r="P27" i="7"/>
  <c r="Q27" i="7" s="1"/>
  <c r="R27" i="7"/>
  <c r="P28" i="7"/>
  <c r="R28" i="7" s="1"/>
  <c r="Q28" i="7"/>
  <c r="P29" i="7"/>
  <c r="Q29" i="7" s="1"/>
  <c r="R29" i="7"/>
  <c r="P30" i="7"/>
  <c r="R30" i="7" s="1"/>
  <c r="Q30" i="7"/>
  <c r="P31" i="7"/>
  <c r="Q31" i="7" s="1"/>
  <c r="R31" i="7"/>
  <c r="P32" i="7"/>
  <c r="R32" i="7" s="1"/>
  <c r="Q32" i="7"/>
  <c r="P33" i="7"/>
  <c r="Q33" i="7" s="1"/>
  <c r="R33" i="7"/>
  <c r="P34" i="7"/>
  <c r="R34" i="7" s="1"/>
  <c r="Q34" i="7"/>
  <c r="P35" i="7"/>
  <c r="Q35" i="7" s="1"/>
  <c r="R35" i="7"/>
  <c r="P36" i="7"/>
  <c r="R36" i="7" s="1"/>
  <c r="Q36" i="7"/>
  <c r="P37" i="7"/>
  <c r="Q37" i="7" s="1"/>
  <c r="R37" i="7"/>
  <c r="P38" i="7"/>
  <c r="R38" i="7" s="1"/>
  <c r="Q38" i="7"/>
  <c r="P39" i="7"/>
  <c r="Q39" i="7" s="1"/>
  <c r="R39" i="7"/>
  <c r="P40" i="7"/>
  <c r="R40" i="7" s="1"/>
  <c r="P41" i="7"/>
  <c r="Q41" i="7" s="1"/>
  <c r="R41" i="7"/>
  <c r="P42" i="7"/>
  <c r="R42" i="7" s="1"/>
  <c r="P43" i="7"/>
  <c r="Q43" i="7" s="1"/>
  <c r="R43" i="7"/>
  <c r="P44" i="7"/>
  <c r="R44" i="7" s="1"/>
  <c r="Q44" i="7"/>
  <c r="P45" i="7"/>
  <c r="Q45" i="7" s="1"/>
  <c r="R45" i="7"/>
  <c r="P46" i="7"/>
  <c r="R46" i="7" s="1"/>
  <c r="Q46" i="7"/>
  <c r="P47" i="7"/>
  <c r="Q47" i="7" s="1"/>
  <c r="R47" i="7"/>
  <c r="P48" i="7"/>
  <c r="R48" i="7" s="1"/>
  <c r="P49" i="7"/>
  <c r="Q49" i="7" s="1"/>
  <c r="R49" i="7"/>
  <c r="P50" i="7"/>
  <c r="R50" i="7" s="1"/>
  <c r="P51" i="7"/>
  <c r="Q51" i="7" s="1"/>
  <c r="R51" i="7"/>
  <c r="P52" i="7"/>
  <c r="R52" i="7" s="1"/>
  <c r="Q52" i="7"/>
  <c r="P53" i="7"/>
  <c r="Q53" i="7" s="1"/>
  <c r="R53" i="7"/>
  <c r="P54" i="7"/>
  <c r="R54" i="7" s="1"/>
  <c r="Q54" i="7"/>
  <c r="P55" i="7"/>
  <c r="Q55" i="7" s="1"/>
  <c r="R55" i="7"/>
  <c r="P56" i="7"/>
  <c r="R56" i="7" s="1"/>
  <c r="P57" i="7"/>
  <c r="Q57" i="7" s="1"/>
  <c r="R57" i="7"/>
  <c r="P58" i="7"/>
  <c r="R58" i="7" s="1"/>
  <c r="P59" i="7"/>
  <c r="Q59" i="7" s="1"/>
  <c r="R59" i="7"/>
  <c r="P60" i="7"/>
  <c r="R60" i="7" s="1"/>
  <c r="Q60" i="7"/>
  <c r="P61" i="7"/>
  <c r="Q61" i="7" s="1"/>
  <c r="R61" i="7"/>
  <c r="P62" i="7"/>
  <c r="R62" i="7" s="1"/>
  <c r="Q62" i="7"/>
  <c r="P63" i="7"/>
  <c r="Q63" i="7" s="1"/>
  <c r="P64" i="7"/>
  <c r="Q64" i="7" s="1"/>
  <c r="P65" i="7"/>
  <c r="Q65" i="7" s="1"/>
  <c r="P66" i="7"/>
  <c r="Q66" i="7" s="1"/>
  <c r="P67" i="7"/>
  <c r="Q67" i="7" s="1"/>
  <c r="R67" i="7"/>
  <c r="P68" i="7"/>
  <c r="Q68" i="7"/>
  <c r="R68" i="7"/>
  <c r="P69" i="7"/>
  <c r="Q69" i="7" s="1"/>
  <c r="R69" i="7"/>
  <c r="P70" i="7"/>
  <c r="R70" i="7" s="1"/>
  <c r="Q70" i="7"/>
  <c r="P71" i="7"/>
  <c r="Q71" i="7" s="1"/>
  <c r="P72" i="7"/>
  <c r="Q72" i="7" s="1"/>
  <c r="P73" i="7"/>
  <c r="Q73" i="7" s="1"/>
  <c r="P74" i="7"/>
  <c r="Q74" i="7" s="1"/>
  <c r="P75" i="7"/>
  <c r="Q75" i="7" s="1"/>
  <c r="R75" i="7"/>
  <c r="P76" i="7"/>
  <c r="R76" i="7" s="1"/>
  <c r="Q76" i="7"/>
  <c r="P77" i="7"/>
  <c r="Q77" i="7" s="1"/>
  <c r="R77" i="7"/>
  <c r="P78" i="7"/>
  <c r="R78" i="7" s="1"/>
  <c r="Q78" i="7"/>
  <c r="P79" i="7"/>
  <c r="Q79" i="7" s="1"/>
  <c r="R79" i="7"/>
  <c r="P80" i="7"/>
  <c r="R80" i="7" s="1"/>
  <c r="Q80" i="7"/>
  <c r="P81" i="7"/>
  <c r="Q81" i="7" s="1"/>
  <c r="R81" i="7"/>
  <c r="P82" i="7"/>
  <c r="R82" i="7" s="1"/>
  <c r="Q82" i="7"/>
  <c r="P83" i="7"/>
  <c r="Q83" i="7" s="1"/>
  <c r="R83" i="7"/>
  <c r="P84" i="7"/>
  <c r="R84" i="7" s="1"/>
  <c r="Q84" i="7"/>
  <c r="P85" i="7"/>
  <c r="Q85" i="7" s="1"/>
  <c r="R85" i="7"/>
  <c r="P86" i="7"/>
  <c r="R86" i="7" s="1"/>
  <c r="Q86" i="7"/>
  <c r="P87" i="7"/>
  <c r="Q87" i="7" s="1"/>
  <c r="R87" i="7"/>
  <c r="P88" i="7"/>
  <c r="R88" i="7" s="1"/>
  <c r="Q88" i="7"/>
  <c r="P89" i="7"/>
  <c r="Q89" i="7" s="1"/>
  <c r="R89" i="7"/>
  <c r="P90" i="7"/>
  <c r="R90" i="7" s="1"/>
  <c r="Q90" i="7"/>
  <c r="P91" i="7"/>
  <c r="Q91" i="7" s="1"/>
  <c r="R91" i="7"/>
  <c r="P92" i="7"/>
  <c r="R92" i="7" s="1"/>
  <c r="Q92" i="7"/>
  <c r="P93" i="7"/>
  <c r="Q93" i="7" s="1"/>
  <c r="R93" i="7"/>
  <c r="P94" i="7"/>
  <c r="R94" i="7" s="1"/>
  <c r="Q94" i="7"/>
  <c r="P95" i="7"/>
  <c r="Q95" i="7" s="1"/>
  <c r="R95" i="7"/>
  <c r="P96" i="7"/>
  <c r="R96" i="7" s="1"/>
  <c r="Q96" i="7"/>
  <c r="P97" i="7"/>
  <c r="Q97" i="7" s="1"/>
  <c r="R97" i="7"/>
  <c r="P98" i="7"/>
  <c r="R98" i="7" s="1"/>
  <c r="Q98" i="7"/>
  <c r="P99" i="7"/>
  <c r="Q99" i="7" s="1"/>
  <c r="R99" i="7"/>
  <c r="P100" i="7"/>
  <c r="R100" i="7" s="1"/>
  <c r="Q100" i="7"/>
  <c r="P101" i="7"/>
  <c r="Q101" i="7" s="1"/>
  <c r="R101" i="7"/>
  <c r="P102" i="7"/>
  <c r="R102" i="7" s="1"/>
  <c r="P103" i="7"/>
  <c r="Q103" i="7" s="1"/>
  <c r="R103" i="7"/>
  <c r="Q102" i="7" l="1"/>
  <c r="R74" i="7"/>
  <c r="R66" i="7"/>
  <c r="R73" i="7"/>
  <c r="R72" i="7"/>
  <c r="R65" i="7"/>
  <c r="R64" i="7"/>
  <c r="Q56" i="7"/>
  <c r="Q48" i="7"/>
  <c r="Q40" i="7"/>
  <c r="R71" i="7"/>
  <c r="R63" i="7"/>
  <c r="Q58" i="7"/>
  <c r="Q50" i="7"/>
  <c r="Q42"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V81" i="7"/>
  <c r="V82" i="7"/>
  <c r="V83" i="7"/>
  <c r="V84" i="7"/>
  <c r="V85" i="7"/>
  <c r="V86" i="7"/>
  <c r="V87" i="7"/>
  <c r="V88" i="7"/>
  <c r="V89" i="7"/>
  <c r="V90" i="7"/>
  <c r="V91" i="7"/>
  <c r="V92" i="7"/>
  <c r="V93" i="7"/>
  <c r="V94" i="7"/>
  <c r="V95" i="7"/>
  <c r="V96" i="7"/>
  <c r="V97" i="7"/>
  <c r="V98" i="7"/>
  <c r="V99" i="7"/>
  <c r="V100" i="7"/>
  <c r="V103" i="7"/>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N19" i="5"/>
  <c r="O19" i="5"/>
  <c r="P19" i="5"/>
  <c r="N20" i="5"/>
  <c r="P20" i="5" s="1"/>
  <c r="O20" i="5"/>
  <c r="N21" i="5"/>
  <c r="O21" i="5"/>
  <c r="P21" i="5"/>
  <c r="N22" i="5"/>
  <c r="N23" i="5"/>
  <c r="O23" i="5"/>
  <c r="P23" i="5"/>
  <c r="N24" i="5"/>
  <c r="P24" i="5" s="1"/>
  <c r="N25" i="5"/>
  <c r="O25" i="5"/>
  <c r="P25" i="5"/>
  <c r="N26" i="5"/>
  <c r="N27" i="5"/>
  <c r="O27" i="5"/>
  <c r="P27" i="5"/>
  <c r="N28" i="5"/>
  <c r="P28" i="5" s="1"/>
  <c r="N29" i="5"/>
  <c r="O29" i="5"/>
  <c r="P29" i="5"/>
  <c r="N30" i="5"/>
  <c r="N31" i="5"/>
  <c r="O31" i="5"/>
  <c r="P31" i="5"/>
  <c r="N32" i="5"/>
  <c r="P32" i="5" s="1"/>
  <c r="N33" i="5"/>
  <c r="O33" i="5"/>
  <c r="P33" i="5"/>
  <c r="N34" i="5"/>
  <c r="N35" i="5"/>
  <c r="O35" i="5"/>
  <c r="P35" i="5"/>
  <c r="N36" i="5"/>
  <c r="P36" i="5" s="1"/>
  <c r="N37" i="5"/>
  <c r="O37" i="5"/>
  <c r="P37" i="5"/>
  <c r="N38" i="5"/>
  <c r="N39" i="5"/>
  <c r="O39" i="5"/>
  <c r="P39" i="5"/>
  <c r="N40" i="5"/>
  <c r="P40" i="5" s="1"/>
  <c r="N41" i="5"/>
  <c r="O41" i="5"/>
  <c r="P41" i="5"/>
  <c r="N42" i="5"/>
  <c r="N43" i="5"/>
  <c r="O43" i="5"/>
  <c r="P43" i="5"/>
  <c r="N44" i="5"/>
  <c r="P44" i="5" s="1"/>
  <c r="N45" i="5"/>
  <c r="O45" i="5"/>
  <c r="P45" i="5"/>
  <c r="N46" i="5"/>
  <c r="N47" i="5"/>
  <c r="O47" i="5"/>
  <c r="P47" i="5"/>
  <c r="N48" i="5"/>
  <c r="P48" i="5" s="1"/>
  <c r="N49" i="5"/>
  <c r="O49" i="5"/>
  <c r="P49" i="5"/>
  <c r="N50" i="5"/>
  <c r="N51" i="5"/>
  <c r="O51" i="5"/>
  <c r="P51" i="5"/>
  <c r="N52" i="5"/>
  <c r="P52" i="5" s="1"/>
  <c r="N53" i="5"/>
  <c r="O53" i="5"/>
  <c r="P53" i="5"/>
  <c r="N54" i="5"/>
  <c r="N55" i="5"/>
  <c r="O55" i="5"/>
  <c r="P55" i="5"/>
  <c r="N56" i="5"/>
  <c r="P56" i="5" s="1"/>
  <c r="N57" i="5"/>
  <c r="O57" i="5"/>
  <c r="P57" i="5"/>
  <c r="N58" i="5"/>
  <c r="N59" i="5"/>
  <c r="O59" i="5"/>
  <c r="P59" i="5"/>
  <c r="N60" i="5"/>
  <c r="P60" i="5" s="1"/>
  <c r="N61" i="5"/>
  <c r="O61" i="5"/>
  <c r="P61" i="5"/>
  <c r="N62" i="5"/>
  <c r="N63" i="5"/>
  <c r="O63" i="5"/>
  <c r="P63" i="5"/>
  <c r="N64" i="5"/>
  <c r="P64" i="5" s="1"/>
  <c r="N65" i="5"/>
  <c r="O65" i="5"/>
  <c r="P65" i="5"/>
  <c r="N66" i="5"/>
  <c r="N67" i="5"/>
  <c r="O67" i="5"/>
  <c r="P67" i="5"/>
  <c r="N68" i="5"/>
  <c r="P68" i="5" s="1"/>
  <c r="N69" i="5"/>
  <c r="O69" i="5"/>
  <c r="P69" i="5"/>
  <c r="N70" i="5"/>
  <c r="N71" i="5"/>
  <c r="O71" i="5"/>
  <c r="P71" i="5"/>
  <c r="N72" i="5"/>
  <c r="P72" i="5" s="1"/>
  <c r="N73" i="5"/>
  <c r="O73" i="5"/>
  <c r="P73" i="5"/>
  <c r="N74" i="5"/>
  <c r="N75" i="5"/>
  <c r="O75" i="5"/>
  <c r="P75" i="5"/>
  <c r="N76" i="5"/>
  <c r="P76" i="5" s="1"/>
  <c r="N77" i="5"/>
  <c r="O77" i="5"/>
  <c r="P77" i="5"/>
  <c r="N78" i="5"/>
  <c r="N79" i="5"/>
  <c r="O79" i="5"/>
  <c r="P79" i="5"/>
  <c r="N80" i="5"/>
  <c r="P80" i="5" s="1"/>
  <c r="N81" i="5"/>
  <c r="O81" i="5"/>
  <c r="P81" i="5"/>
  <c r="N82" i="5"/>
  <c r="N83" i="5"/>
  <c r="O83" i="5"/>
  <c r="P83" i="5"/>
  <c r="N84" i="5"/>
  <c r="P84" i="5" s="1"/>
  <c r="N85" i="5"/>
  <c r="O85" i="5"/>
  <c r="P85" i="5"/>
  <c r="N86" i="5"/>
  <c r="N87" i="5"/>
  <c r="O87" i="5"/>
  <c r="P87" i="5"/>
  <c r="N88" i="5"/>
  <c r="P88" i="5" s="1"/>
  <c r="N89" i="5"/>
  <c r="O89" i="5"/>
  <c r="P89" i="5"/>
  <c r="N90" i="5"/>
  <c r="N91" i="5"/>
  <c r="O91" i="5"/>
  <c r="P91" i="5"/>
  <c r="N92" i="5"/>
  <c r="P92" i="5" s="1"/>
  <c r="N93" i="5"/>
  <c r="O93" i="5"/>
  <c r="P93" i="5"/>
  <c r="N94" i="5"/>
  <c r="N95" i="5"/>
  <c r="O95" i="5"/>
  <c r="P95" i="5"/>
  <c r="N96" i="5"/>
  <c r="P96" i="5" s="1"/>
  <c r="N97" i="5"/>
  <c r="O97" i="5"/>
  <c r="P97" i="5"/>
  <c r="N98" i="5"/>
  <c r="N99" i="5"/>
  <c r="O99" i="5"/>
  <c r="P99" i="5"/>
  <c r="N100" i="5"/>
  <c r="P100" i="5" s="1"/>
  <c r="N101" i="5"/>
  <c r="O101" i="5"/>
  <c r="P101" i="5"/>
  <c r="N102" i="5"/>
  <c r="N103" i="5"/>
  <c r="O103" i="5"/>
  <c r="P103" i="5"/>
  <c r="N104" i="5"/>
  <c r="O104" i="5" s="1"/>
  <c r="P104" i="5"/>
  <c r="N105" i="5"/>
  <c r="N106" i="5"/>
  <c r="O106" i="5" s="1"/>
  <c r="P106" i="5"/>
  <c r="N107" i="5"/>
  <c r="N108" i="5"/>
  <c r="O108" i="5" s="1"/>
  <c r="P108" i="5"/>
  <c r="N109" i="5"/>
  <c r="N110" i="5"/>
  <c r="O110" i="5" s="1"/>
  <c r="P110" i="5"/>
  <c r="N111" i="5"/>
  <c r="N112" i="5"/>
  <c r="O112" i="5" s="1"/>
  <c r="P112" i="5"/>
  <c r="N113" i="5"/>
  <c r="N114" i="5"/>
  <c r="O114" i="5"/>
  <c r="P114" i="5"/>
  <c r="N115" i="5"/>
  <c r="N116" i="5"/>
  <c r="O116" i="5"/>
  <c r="P116" i="5"/>
  <c r="N117" i="5"/>
  <c r="N118" i="5"/>
  <c r="O118" i="5"/>
  <c r="P118" i="5"/>
  <c r="N119" i="5"/>
  <c r="N120" i="5"/>
  <c r="O120" i="5"/>
  <c r="P120" i="5"/>
  <c r="N121" i="5"/>
  <c r="N122" i="5"/>
  <c r="O122" i="5"/>
  <c r="P122" i="5"/>
  <c r="N123" i="5"/>
  <c r="N124" i="5"/>
  <c r="O124" i="5"/>
  <c r="P124" i="5"/>
  <c r="N125" i="5"/>
  <c r="O119" i="5" l="1"/>
  <c r="P119" i="5"/>
  <c r="P34" i="5"/>
  <c r="O34" i="5"/>
  <c r="O113" i="5"/>
  <c r="P113" i="5"/>
  <c r="O109" i="5"/>
  <c r="P109" i="5"/>
  <c r="O105" i="5"/>
  <c r="P105" i="5"/>
  <c r="P102" i="5"/>
  <c r="O102" i="5"/>
  <c r="P86" i="5"/>
  <c r="O86" i="5"/>
  <c r="P70" i="5"/>
  <c r="O70" i="5"/>
  <c r="P54" i="5"/>
  <c r="O54" i="5"/>
  <c r="P38" i="5"/>
  <c r="O38" i="5"/>
  <c r="P22" i="5"/>
  <c r="O22" i="5"/>
  <c r="P66" i="5"/>
  <c r="O66" i="5"/>
  <c r="P50" i="5"/>
  <c r="O50" i="5"/>
  <c r="O121" i="5"/>
  <c r="P121" i="5"/>
  <c r="O111" i="5"/>
  <c r="P111" i="5"/>
  <c r="O107" i="5"/>
  <c r="P107" i="5"/>
  <c r="O123" i="5"/>
  <c r="P123" i="5"/>
  <c r="O115" i="5"/>
  <c r="P115" i="5"/>
  <c r="P90" i="5"/>
  <c r="O90" i="5"/>
  <c r="P74" i="5"/>
  <c r="O74" i="5"/>
  <c r="P58" i="5"/>
  <c r="O58" i="5"/>
  <c r="P42" i="5"/>
  <c r="O42" i="5"/>
  <c r="P26" i="5"/>
  <c r="O26" i="5"/>
  <c r="P98" i="5"/>
  <c r="O98" i="5"/>
  <c r="P82" i="5"/>
  <c r="O82" i="5"/>
  <c r="O125" i="5"/>
  <c r="P125" i="5"/>
  <c r="O117" i="5"/>
  <c r="P117" i="5"/>
  <c r="P94" i="5"/>
  <c r="O94" i="5"/>
  <c r="P78" i="5"/>
  <c r="O78" i="5"/>
  <c r="P62" i="5"/>
  <c r="O62" i="5"/>
  <c r="P46" i="5"/>
  <c r="O46" i="5"/>
  <c r="P30" i="5"/>
  <c r="O30" i="5"/>
  <c r="O100" i="5"/>
  <c r="O96" i="5"/>
  <c r="O92" i="5"/>
  <c r="O88" i="5"/>
  <c r="O84" i="5"/>
  <c r="O80" i="5"/>
  <c r="O76" i="5"/>
  <c r="O72" i="5"/>
  <c r="O68" i="5"/>
  <c r="O64" i="5"/>
  <c r="O60" i="5"/>
  <c r="O56" i="5"/>
  <c r="O52" i="5"/>
  <c r="O48" i="5"/>
  <c r="O44" i="5"/>
  <c r="O40" i="5"/>
  <c r="O36" i="5"/>
  <c r="O32" i="5"/>
  <c r="O28" i="5"/>
  <c r="O24" i="5"/>
  <c r="T71" i="5" l="1"/>
  <c r="A19" i="6" l="1"/>
  <c r="A18" i="6"/>
  <c r="J18" i="6"/>
  <c r="T125" i="5"/>
  <c r="T124" i="5"/>
  <c r="T123" i="5"/>
  <c r="T122" i="5"/>
  <c r="T121" i="5"/>
  <c r="T120" i="5"/>
  <c r="T119" i="5"/>
  <c r="T118" i="5"/>
  <c r="T117" i="5"/>
  <c r="T116" i="5"/>
  <c r="T82" i="5"/>
  <c r="T81" i="5"/>
  <c r="T80" i="5"/>
  <c r="T79" i="5"/>
  <c r="T78" i="5"/>
  <c r="T77" i="5"/>
  <c r="T76" i="5"/>
  <c r="T75" i="5"/>
  <c r="T74" i="5"/>
  <c r="T73" i="5"/>
  <c r="T72"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A17" i="7" l="1"/>
  <c r="B17" i="6"/>
  <c r="A17" i="6"/>
  <c r="T21" i="5"/>
  <c r="T20" i="5"/>
  <c r="T19" i="5" l="1"/>
  <c r="V18" i="7" l="1"/>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Q18" i="7" s="1"/>
  <c r="A1" i="6"/>
  <c r="C9" i="6"/>
  <c r="C10" i="6"/>
  <c r="C11" i="6"/>
  <c r="C12" i="6"/>
  <c r="A1" i="5"/>
  <c r="Z8" i="5"/>
  <c r="C9" i="5"/>
  <c r="B8" i="12" s="1"/>
  <c r="Z9" i="5"/>
  <c r="C10" i="5"/>
  <c r="C10" i="14" s="1"/>
  <c r="C11" i="5"/>
  <c r="B10" i="12" s="1"/>
  <c r="C12" i="5"/>
  <c r="C12" i="14" s="1"/>
  <c r="IV16" i="5"/>
  <c r="N18" i="5"/>
  <c r="O18" i="5" s="1"/>
  <c r="N127" i="5"/>
  <c r="C131" i="5"/>
  <c r="C129" i="6" s="1"/>
  <c r="K131" i="5"/>
  <c r="O109" i="7" s="1"/>
  <c r="N24" i="8" s="1"/>
  <c r="C132" i="5"/>
  <c r="C110" i="7" s="1"/>
  <c r="C24" i="8" s="1"/>
  <c r="K132" i="5"/>
  <c r="O110" i="7" s="1"/>
  <c r="N25" i="8" s="1"/>
  <c r="K6" i="4"/>
  <c r="Z7" i="5" s="1"/>
  <c r="AA6" i="4"/>
  <c r="B7" i="4"/>
  <c r="B9" i="4"/>
  <c r="A8" i="6" s="1"/>
  <c r="B10" i="4"/>
  <c r="B14" i="4"/>
  <c r="B15" i="4"/>
  <c r="H27" i="4"/>
  <c r="G27" i="4" s="1"/>
  <c r="B2" i="2"/>
  <c r="A3" i="13" s="1"/>
  <c r="F2" i="2"/>
  <c r="B3" i="2"/>
  <c r="A1" i="7" s="1"/>
  <c r="J126" i="6" l="1"/>
  <c r="J7" i="15" s="1"/>
  <c r="I25" i="15" s="1"/>
  <c r="B50" i="19"/>
  <c r="B51" i="19"/>
  <c r="B53" i="19"/>
  <c r="E52" i="19"/>
  <c r="F49" i="19"/>
  <c r="A8" i="10"/>
  <c r="R18" i="7"/>
  <c r="B52" i="19"/>
  <c r="H5" i="20"/>
  <c r="H7" i="20" s="1"/>
  <c r="B11" i="12"/>
  <c r="Z10" i="5"/>
  <c r="I130" i="6"/>
  <c r="C11" i="14"/>
  <c r="A7" i="5"/>
  <c r="A7" i="13" s="1"/>
  <c r="B9" i="12"/>
  <c r="A3" i="8"/>
  <c r="A3" i="6"/>
  <c r="A3" i="7"/>
  <c r="A3" i="10"/>
  <c r="A8" i="8"/>
  <c r="A3" i="12"/>
  <c r="C12" i="15"/>
  <c r="E16" i="17"/>
  <c r="F16" i="18"/>
  <c r="E16" i="16"/>
  <c r="A8" i="11"/>
  <c r="A8" i="13"/>
  <c r="A3" i="9"/>
  <c r="A3" i="11"/>
  <c r="A3" i="5"/>
  <c r="A1" i="13"/>
  <c r="C15" i="19"/>
  <c r="B1" i="4"/>
  <c r="A3" i="14"/>
  <c r="A64" i="14" s="1"/>
  <c r="A1" i="11"/>
  <c r="A2" i="15"/>
  <c r="C22" i="14"/>
  <c r="C40" i="15" s="1"/>
  <c r="B46" i="19" s="1"/>
  <c r="B32" i="13"/>
  <c r="C9" i="14"/>
  <c r="B2" i="4"/>
  <c r="A1" i="10"/>
  <c r="A1" i="14"/>
  <c r="A62" i="14" s="1"/>
  <c r="A8" i="7"/>
  <c r="I129" i="6"/>
  <c r="A8" i="9"/>
  <c r="A1" i="9"/>
  <c r="A1" i="12"/>
  <c r="AG7" i="19"/>
  <c r="AG8" i="19" s="1"/>
  <c r="C109" i="7"/>
  <c r="C23" i="8" s="1"/>
  <c r="A1" i="19"/>
  <c r="C130" i="6"/>
  <c r="P18" i="5"/>
  <c r="A1" i="8"/>
  <c r="A8" i="5"/>
  <c r="AG9" i="19"/>
  <c r="V104" i="7"/>
  <c r="P104" i="7"/>
  <c r="J8" i="15" s="1"/>
  <c r="J26" i="15" s="1"/>
  <c r="T126" i="5"/>
  <c r="N126" i="5"/>
  <c r="B40" i="19" l="1"/>
  <c r="A7" i="7"/>
  <c r="A7" i="6"/>
  <c r="A7" i="9"/>
  <c r="A7" i="10"/>
  <c r="A7" i="8"/>
  <c r="B7" i="14"/>
  <c r="A7" i="11"/>
  <c r="B8" i="14"/>
  <c r="A7" i="12"/>
  <c r="I16" i="15"/>
  <c r="D17" i="11"/>
  <c r="E17" i="13" s="1"/>
  <c r="R104" i="7"/>
  <c r="D17" i="9" s="1"/>
  <c r="D19" i="11"/>
  <c r="E19" i="13" s="1"/>
  <c r="J16" i="15"/>
  <c r="P114" i="7"/>
  <c r="P126" i="5"/>
  <c r="D15" i="9" s="1"/>
  <c r="N128" i="5"/>
  <c r="J6" i="15"/>
  <c r="D15" i="11"/>
  <c r="E15" i="13" s="1"/>
  <c r="D19" i="9" l="1"/>
  <c r="H16" i="15"/>
  <c r="J9" i="15"/>
  <c r="J15" i="15" s="1"/>
  <c r="H24" i="15"/>
  <c r="D23" i="11" l="1"/>
  <c r="D28" i="11" s="1"/>
  <c r="J31" i="15"/>
  <c r="J32" i="15" s="1"/>
  <c r="J35" i="15"/>
  <c r="J36" i="15" s="1"/>
  <c r="H15" i="15"/>
  <c r="H31" i="15" s="1"/>
  <c r="H32" i="15" s="1"/>
  <c r="I15" i="15"/>
  <c r="S20" i="7" l="1"/>
  <c r="T20" i="7" s="1"/>
  <c r="U20" i="7" s="1"/>
  <c r="S22" i="7"/>
  <c r="T22" i="7" s="1"/>
  <c r="U22" i="7" s="1"/>
  <c r="S24" i="7"/>
  <c r="T24" i="7" s="1"/>
  <c r="U24" i="7" s="1"/>
  <c r="S26" i="7"/>
  <c r="T26" i="7" s="1"/>
  <c r="U26" i="7" s="1"/>
  <c r="S28" i="7"/>
  <c r="T28" i="7" s="1"/>
  <c r="U28" i="7" s="1"/>
  <c r="S30" i="7"/>
  <c r="T30" i="7" s="1"/>
  <c r="U30" i="7" s="1"/>
  <c r="S32" i="7"/>
  <c r="T32" i="7" s="1"/>
  <c r="U32" i="7" s="1"/>
  <c r="S34" i="7"/>
  <c r="T34" i="7" s="1"/>
  <c r="U34" i="7" s="1"/>
  <c r="S36" i="7"/>
  <c r="T36" i="7" s="1"/>
  <c r="U36" i="7" s="1"/>
  <c r="S38" i="7"/>
  <c r="T38" i="7" s="1"/>
  <c r="U38" i="7" s="1"/>
  <c r="S40" i="7"/>
  <c r="T40" i="7" s="1"/>
  <c r="U40" i="7" s="1"/>
  <c r="S42" i="7"/>
  <c r="T42" i="7" s="1"/>
  <c r="U42" i="7" s="1"/>
  <c r="S44" i="7"/>
  <c r="T44" i="7" s="1"/>
  <c r="U44" i="7" s="1"/>
  <c r="S46" i="7"/>
  <c r="T46" i="7" s="1"/>
  <c r="U46" i="7" s="1"/>
  <c r="S48" i="7"/>
  <c r="T48" i="7" s="1"/>
  <c r="U48" i="7" s="1"/>
  <c r="S50" i="7"/>
  <c r="T50" i="7" s="1"/>
  <c r="U50" i="7" s="1"/>
  <c r="S52" i="7"/>
  <c r="T52" i="7" s="1"/>
  <c r="U52" i="7" s="1"/>
  <c r="S54" i="7"/>
  <c r="T54" i="7" s="1"/>
  <c r="U54" i="7" s="1"/>
  <c r="S56" i="7"/>
  <c r="T56" i="7" s="1"/>
  <c r="U56" i="7" s="1"/>
  <c r="S58" i="7"/>
  <c r="T58" i="7" s="1"/>
  <c r="U58" i="7" s="1"/>
  <c r="S60" i="7"/>
  <c r="T60" i="7" s="1"/>
  <c r="U60" i="7" s="1"/>
  <c r="S62" i="7"/>
  <c r="T62" i="7" s="1"/>
  <c r="U62" i="7" s="1"/>
  <c r="S64" i="7"/>
  <c r="T64" i="7" s="1"/>
  <c r="U64" i="7" s="1"/>
  <c r="S66" i="7"/>
  <c r="T66" i="7" s="1"/>
  <c r="U66" i="7" s="1"/>
  <c r="S68" i="7"/>
  <c r="T68" i="7" s="1"/>
  <c r="U68" i="7" s="1"/>
  <c r="S70" i="7"/>
  <c r="T70" i="7" s="1"/>
  <c r="U70" i="7" s="1"/>
  <c r="S72" i="7"/>
  <c r="T72" i="7" s="1"/>
  <c r="U72" i="7" s="1"/>
  <c r="S74" i="7"/>
  <c r="T74" i="7" s="1"/>
  <c r="U74" i="7" s="1"/>
  <c r="S21" i="7"/>
  <c r="T21" i="7" s="1"/>
  <c r="U21" i="7" s="1"/>
  <c r="S25" i="7"/>
  <c r="T25" i="7" s="1"/>
  <c r="U25" i="7" s="1"/>
  <c r="S29" i="7"/>
  <c r="T29" i="7" s="1"/>
  <c r="U29" i="7" s="1"/>
  <c r="S33" i="7"/>
  <c r="T33" i="7" s="1"/>
  <c r="U33" i="7" s="1"/>
  <c r="S37" i="7"/>
  <c r="T37" i="7" s="1"/>
  <c r="U37" i="7" s="1"/>
  <c r="S45" i="7"/>
  <c r="T45" i="7" s="1"/>
  <c r="U45" i="7" s="1"/>
  <c r="S53" i="7"/>
  <c r="T53" i="7" s="1"/>
  <c r="U53" i="7" s="1"/>
  <c r="S61" i="7"/>
  <c r="T61" i="7" s="1"/>
  <c r="U61" i="7" s="1"/>
  <c r="S69" i="7"/>
  <c r="T69" i="7" s="1"/>
  <c r="U69" i="7" s="1"/>
  <c r="S39" i="7"/>
  <c r="T39" i="7" s="1"/>
  <c r="U39" i="7" s="1"/>
  <c r="S47" i="7"/>
  <c r="T47" i="7" s="1"/>
  <c r="U47" i="7" s="1"/>
  <c r="S67" i="7"/>
  <c r="T67" i="7" s="1"/>
  <c r="U67" i="7" s="1"/>
  <c r="S75" i="7"/>
  <c r="T75" i="7" s="1"/>
  <c r="U75" i="7" s="1"/>
  <c r="S81" i="7"/>
  <c r="T81" i="7" s="1"/>
  <c r="U81" i="7" s="1"/>
  <c r="S101" i="7"/>
  <c r="T101" i="7" s="1"/>
  <c r="U101" i="7" s="1"/>
  <c r="S43" i="7"/>
  <c r="T43" i="7" s="1"/>
  <c r="U43" i="7" s="1"/>
  <c r="S51" i="7"/>
  <c r="T51" i="7" s="1"/>
  <c r="U51" i="7" s="1"/>
  <c r="S59" i="7"/>
  <c r="T59" i="7" s="1"/>
  <c r="U59" i="7" s="1"/>
  <c r="S63" i="7"/>
  <c r="T63" i="7" s="1"/>
  <c r="U63" i="7" s="1"/>
  <c r="S71" i="7"/>
  <c r="T71" i="7" s="1"/>
  <c r="U71" i="7" s="1"/>
  <c r="S76" i="7"/>
  <c r="T76" i="7" s="1"/>
  <c r="U76" i="7" s="1"/>
  <c r="S78" i="7"/>
  <c r="T78" i="7" s="1"/>
  <c r="U78" i="7" s="1"/>
  <c r="S80" i="7"/>
  <c r="T80" i="7" s="1"/>
  <c r="U80" i="7" s="1"/>
  <c r="S82" i="7"/>
  <c r="T82" i="7" s="1"/>
  <c r="U82" i="7" s="1"/>
  <c r="S84" i="7"/>
  <c r="T84" i="7" s="1"/>
  <c r="U84" i="7" s="1"/>
  <c r="S86" i="7"/>
  <c r="T86" i="7" s="1"/>
  <c r="U86" i="7" s="1"/>
  <c r="S88" i="7"/>
  <c r="T88" i="7" s="1"/>
  <c r="U88" i="7" s="1"/>
  <c r="S90" i="7"/>
  <c r="T90" i="7" s="1"/>
  <c r="U90" i="7" s="1"/>
  <c r="S92" i="7"/>
  <c r="T92" i="7" s="1"/>
  <c r="U92" i="7" s="1"/>
  <c r="S94" i="7"/>
  <c r="T94" i="7" s="1"/>
  <c r="U94" i="7" s="1"/>
  <c r="S96" i="7"/>
  <c r="T96" i="7" s="1"/>
  <c r="U96" i="7" s="1"/>
  <c r="S98" i="7"/>
  <c r="T98" i="7" s="1"/>
  <c r="U98" i="7" s="1"/>
  <c r="S100" i="7"/>
  <c r="T100" i="7" s="1"/>
  <c r="U100" i="7" s="1"/>
  <c r="S102" i="7"/>
  <c r="T102" i="7" s="1"/>
  <c r="U102" i="7" s="1"/>
  <c r="S55" i="7"/>
  <c r="T55" i="7" s="1"/>
  <c r="U55" i="7" s="1"/>
  <c r="S79" i="7"/>
  <c r="T79" i="7" s="1"/>
  <c r="U79" i="7" s="1"/>
  <c r="S87" i="7"/>
  <c r="T87" i="7" s="1"/>
  <c r="U87" i="7" s="1"/>
  <c r="S89" i="7"/>
  <c r="T89" i="7" s="1"/>
  <c r="U89" i="7" s="1"/>
  <c r="S93" i="7"/>
  <c r="T93" i="7" s="1"/>
  <c r="U93" i="7" s="1"/>
  <c r="S97" i="7"/>
  <c r="T97" i="7" s="1"/>
  <c r="U97" i="7" s="1"/>
  <c r="S99" i="7"/>
  <c r="T99" i="7" s="1"/>
  <c r="U99" i="7" s="1"/>
  <c r="S19" i="7"/>
  <c r="T19" i="7" s="1"/>
  <c r="U19" i="7" s="1"/>
  <c r="S23" i="7"/>
  <c r="T23" i="7" s="1"/>
  <c r="U23" i="7" s="1"/>
  <c r="S27" i="7"/>
  <c r="T27" i="7" s="1"/>
  <c r="U27" i="7" s="1"/>
  <c r="S31" i="7"/>
  <c r="T31" i="7" s="1"/>
  <c r="U31" i="7" s="1"/>
  <c r="S35" i="7"/>
  <c r="T35" i="7" s="1"/>
  <c r="U35" i="7" s="1"/>
  <c r="S41" i="7"/>
  <c r="T41" i="7" s="1"/>
  <c r="U41" i="7" s="1"/>
  <c r="S49" i="7"/>
  <c r="T49" i="7" s="1"/>
  <c r="U49" i="7" s="1"/>
  <c r="S57" i="7"/>
  <c r="T57" i="7" s="1"/>
  <c r="U57" i="7" s="1"/>
  <c r="S65" i="7"/>
  <c r="T65" i="7" s="1"/>
  <c r="U65" i="7" s="1"/>
  <c r="S73" i="7"/>
  <c r="T73" i="7" s="1"/>
  <c r="U73" i="7" s="1"/>
  <c r="S77" i="7"/>
  <c r="T77" i="7" s="1"/>
  <c r="U77" i="7" s="1"/>
  <c r="S83" i="7"/>
  <c r="T83" i="7" s="1"/>
  <c r="U83" i="7" s="1"/>
  <c r="S85" i="7"/>
  <c r="T85" i="7" s="1"/>
  <c r="U85" i="7" s="1"/>
  <c r="S91" i="7"/>
  <c r="T91" i="7" s="1"/>
  <c r="U91" i="7" s="1"/>
  <c r="S95" i="7"/>
  <c r="T95" i="7" s="1"/>
  <c r="U95" i="7" s="1"/>
  <c r="S103" i="7"/>
  <c r="T103" i="7" s="1"/>
  <c r="U103" i="7" s="1"/>
  <c r="F19" i="13"/>
  <c r="D19" i="13" s="1"/>
  <c r="S18" i="7"/>
  <c r="T18" i="7" s="1"/>
  <c r="U18" i="7" s="1"/>
  <c r="I35" i="15"/>
  <c r="I36" i="15" s="1"/>
  <c r="F17" i="13" s="1"/>
  <c r="D17" i="13" s="1"/>
  <c r="I31" i="15"/>
  <c r="I32" i="15" s="1"/>
  <c r="H35" i="15"/>
  <c r="H36" i="15" s="1"/>
  <c r="Q104" i="5" l="1"/>
  <c r="R104" i="5" s="1"/>
  <c r="S104" i="5" s="1"/>
  <c r="Q106" i="5"/>
  <c r="R106" i="5" s="1"/>
  <c r="S106" i="5" s="1"/>
  <c r="Q108" i="5"/>
  <c r="R108" i="5" s="1"/>
  <c r="S108" i="5" s="1"/>
  <c r="Q110" i="5"/>
  <c r="R110" i="5" s="1"/>
  <c r="S110" i="5" s="1"/>
  <c r="Q112" i="5"/>
  <c r="R112" i="5" s="1"/>
  <c r="S112" i="5" s="1"/>
  <c r="Q114" i="5"/>
  <c r="R114" i="5" s="1"/>
  <c r="S114" i="5" s="1"/>
  <c r="Q116" i="5"/>
  <c r="R116" i="5" s="1"/>
  <c r="S116" i="5" s="1"/>
  <c r="Q118" i="5"/>
  <c r="R118" i="5" s="1"/>
  <c r="S118" i="5" s="1"/>
  <c r="Q120" i="5"/>
  <c r="R120" i="5" s="1"/>
  <c r="S120" i="5" s="1"/>
  <c r="Q122" i="5"/>
  <c r="R122" i="5" s="1"/>
  <c r="S122" i="5" s="1"/>
  <c r="Q124" i="5"/>
  <c r="R124" i="5" s="1"/>
  <c r="S124" i="5" s="1"/>
  <c r="Q21" i="5"/>
  <c r="R21" i="5" s="1"/>
  <c r="S21" i="5" s="1"/>
  <c r="Q22" i="5"/>
  <c r="R22" i="5" s="1"/>
  <c r="S22" i="5" s="1"/>
  <c r="Q25" i="5"/>
  <c r="R25" i="5" s="1"/>
  <c r="S25" i="5" s="1"/>
  <c r="Q26" i="5"/>
  <c r="R26" i="5" s="1"/>
  <c r="S26" i="5" s="1"/>
  <c r="Q29" i="5"/>
  <c r="R29" i="5" s="1"/>
  <c r="S29" i="5" s="1"/>
  <c r="Q30" i="5"/>
  <c r="R30" i="5" s="1"/>
  <c r="S30" i="5" s="1"/>
  <c r="Q33" i="5"/>
  <c r="R33" i="5" s="1"/>
  <c r="S33" i="5" s="1"/>
  <c r="Q34" i="5"/>
  <c r="R34" i="5" s="1"/>
  <c r="S34" i="5" s="1"/>
  <c r="Q37" i="5"/>
  <c r="R37" i="5" s="1"/>
  <c r="S37" i="5" s="1"/>
  <c r="Q38" i="5"/>
  <c r="R38" i="5" s="1"/>
  <c r="S38" i="5" s="1"/>
  <c r="Q41" i="5"/>
  <c r="R41" i="5" s="1"/>
  <c r="S41" i="5" s="1"/>
  <c r="Q42" i="5"/>
  <c r="R42" i="5" s="1"/>
  <c r="S42" i="5" s="1"/>
  <c r="Q45" i="5"/>
  <c r="R45" i="5" s="1"/>
  <c r="S45" i="5" s="1"/>
  <c r="Q46" i="5"/>
  <c r="R46" i="5" s="1"/>
  <c r="S46" i="5" s="1"/>
  <c r="Q49" i="5"/>
  <c r="R49" i="5" s="1"/>
  <c r="S49" i="5" s="1"/>
  <c r="Q50" i="5"/>
  <c r="R50" i="5" s="1"/>
  <c r="S50" i="5" s="1"/>
  <c r="Q53" i="5"/>
  <c r="R53" i="5" s="1"/>
  <c r="S53" i="5" s="1"/>
  <c r="Q54" i="5"/>
  <c r="R54" i="5" s="1"/>
  <c r="S54" i="5" s="1"/>
  <c r="Q57" i="5"/>
  <c r="R57" i="5" s="1"/>
  <c r="S57" i="5" s="1"/>
  <c r="Q58" i="5"/>
  <c r="R58" i="5" s="1"/>
  <c r="S58" i="5" s="1"/>
  <c r="Q61" i="5"/>
  <c r="R61" i="5" s="1"/>
  <c r="S61" i="5" s="1"/>
  <c r="Q62" i="5"/>
  <c r="R62" i="5" s="1"/>
  <c r="S62" i="5" s="1"/>
  <c r="Q65" i="5"/>
  <c r="R65" i="5" s="1"/>
  <c r="S65" i="5" s="1"/>
  <c r="Q66" i="5"/>
  <c r="R66" i="5" s="1"/>
  <c r="S66" i="5" s="1"/>
  <c r="Q69" i="5"/>
  <c r="R69" i="5" s="1"/>
  <c r="S69" i="5" s="1"/>
  <c r="Q70" i="5"/>
  <c r="R70" i="5" s="1"/>
  <c r="S70" i="5" s="1"/>
  <c r="Q73" i="5"/>
  <c r="R73" i="5" s="1"/>
  <c r="S73" i="5" s="1"/>
  <c r="Q74" i="5"/>
  <c r="R74" i="5" s="1"/>
  <c r="S74" i="5" s="1"/>
  <c r="Q77" i="5"/>
  <c r="R77" i="5" s="1"/>
  <c r="S77" i="5" s="1"/>
  <c r="Q78" i="5"/>
  <c r="R78" i="5" s="1"/>
  <c r="S78" i="5" s="1"/>
  <c r="Q81" i="5"/>
  <c r="R81" i="5" s="1"/>
  <c r="S81" i="5" s="1"/>
  <c r="Q82" i="5"/>
  <c r="R82" i="5" s="1"/>
  <c r="S82" i="5" s="1"/>
  <c r="Q85" i="5"/>
  <c r="R85" i="5" s="1"/>
  <c r="S85" i="5" s="1"/>
  <c r="Q86" i="5"/>
  <c r="R86" i="5" s="1"/>
  <c r="S86" i="5" s="1"/>
  <c r="Q89" i="5"/>
  <c r="R89" i="5" s="1"/>
  <c r="S89" i="5" s="1"/>
  <c r="Q90" i="5"/>
  <c r="R90" i="5" s="1"/>
  <c r="S90" i="5" s="1"/>
  <c r="Q93" i="5"/>
  <c r="R93" i="5" s="1"/>
  <c r="S93" i="5" s="1"/>
  <c r="Q94" i="5"/>
  <c r="R94" i="5" s="1"/>
  <c r="S94" i="5" s="1"/>
  <c r="Q97" i="5"/>
  <c r="R97" i="5" s="1"/>
  <c r="S97" i="5" s="1"/>
  <c r="Q98" i="5"/>
  <c r="R98" i="5" s="1"/>
  <c r="S98" i="5" s="1"/>
  <c r="Q101" i="5"/>
  <c r="R101" i="5" s="1"/>
  <c r="S101" i="5" s="1"/>
  <c r="Q102" i="5"/>
  <c r="R102" i="5" s="1"/>
  <c r="S102" i="5" s="1"/>
  <c r="Q105" i="5"/>
  <c r="R105" i="5" s="1"/>
  <c r="S105" i="5" s="1"/>
  <c r="Q107" i="5"/>
  <c r="R107" i="5" s="1"/>
  <c r="S107" i="5" s="1"/>
  <c r="Q109" i="5"/>
  <c r="R109" i="5" s="1"/>
  <c r="S109" i="5" s="1"/>
  <c r="Q111" i="5"/>
  <c r="R111" i="5" s="1"/>
  <c r="S111" i="5" s="1"/>
  <c r="Q28" i="5"/>
  <c r="R28" i="5" s="1"/>
  <c r="S28" i="5" s="1"/>
  <c r="Q35" i="5"/>
  <c r="R35" i="5" s="1"/>
  <c r="S35" i="5" s="1"/>
  <c r="Q44" i="5"/>
  <c r="R44" i="5" s="1"/>
  <c r="S44" i="5" s="1"/>
  <c r="Q51" i="5"/>
  <c r="R51" i="5" s="1"/>
  <c r="S51" i="5" s="1"/>
  <c r="Q60" i="5"/>
  <c r="R60" i="5" s="1"/>
  <c r="S60" i="5" s="1"/>
  <c r="Q67" i="5"/>
  <c r="R67" i="5" s="1"/>
  <c r="S67" i="5" s="1"/>
  <c r="Q76" i="5"/>
  <c r="R76" i="5" s="1"/>
  <c r="S76" i="5" s="1"/>
  <c r="Q83" i="5"/>
  <c r="R83" i="5" s="1"/>
  <c r="S83" i="5" s="1"/>
  <c r="Q92" i="5"/>
  <c r="R92" i="5" s="1"/>
  <c r="S92" i="5" s="1"/>
  <c r="Q99" i="5"/>
  <c r="R99" i="5" s="1"/>
  <c r="S99" i="5" s="1"/>
  <c r="Q119" i="5"/>
  <c r="R119" i="5" s="1"/>
  <c r="S119" i="5" s="1"/>
  <c r="Q39" i="5"/>
  <c r="R39" i="5" s="1"/>
  <c r="S39" i="5" s="1"/>
  <c r="Q55" i="5"/>
  <c r="R55" i="5" s="1"/>
  <c r="S55" i="5" s="1"/>
  <c r="Q64" i="5"/>
  <c r="R64" i="5" s="1"/>
  <c r="S64" i="5" s="1"/>
  <c r="Q71" i="5"/>
  <c r="R71" i="5" s="1"/>
  <c r="S71" i="5" s="1"/>
  <c r="Q24" i="5"/>
  <c r="R24" i="5" s="1"/>
  <c r="S24" i="5" s="1"/>
  <c r="Q31" i="5"/>
  <c r="R31" i="5" s="1"/>
  <c r="S31" i="5" s="1"/>
  <c r="Q40" i="5"/>
  <c r="R40" i="5" s="1"/>
  <c r="S40" i="5" s="1"/>
  <c r="Q47" i="5"/>
  <c r="R47" i="5" s="1"/>
  <c r="S47" i="5" s="1"/>
  <c r="Q56" i="5"/>
  <c r="R56" i="5" s="1"/>
  <c r="S56" i="5" s="1"/>
  <c r="Q63" i="5"/>
  <c r="R63" i="5" s="1"/>
  <c r="S63" i="5" s="1"/>
  <c r="Q72" i="5"/>
  <c r="R72" i="5" s="1"/>
  <c r="S72" i="5" s="1"/>
  <c r="Q79" i="5"/>
  <c r="R79" i="5" s="1"/>
  <c r="S79" i="5" s="1"/>
  <c r="Q88" i="5"/>
  <c r="R88" i="5" s="1"/>
  <c r="S88" i="5" s="1"/>
  <c r="Q95" i="5"/>
  <c r="R95" i="5" s="1"/>
  <c r="S95" i="5" s="1"/>
  <c r="Q117" i="5"/>
  <c r="R117" i="5" s="1"/>
  <c r="S117" i="5" s="1"/>
  <c r="Q125" i="5"/>
  <c r="R125" i="5" s="1"/>
  <c r="S125" i="5" s="1"/>
  <c r="Q123" i="5"/>
  <c r="R123" i="5" s="1"/>
  <c r="S123" i="5" s="1"/>
  <c r="Q19" i="5"/>
  <c r="R19" i="5" s="1"/>
  <c r="S19" i="5" s="1"/>
  <c r="Q32" i="5"/>
  <c r="R32" i="5" s="1"/>
  <c r="S32" i="5" s="1"/>
  <c r="Q87" i="5"/>
  <c r="R87" i="5" s="1"/>
  <c r="S87" i="5" s="1"/>
  <c r="Q96" i="5"/>
  <c r="R96" i="5" s="1"/>
  <c r="S96" i="5" s="1"/>
  <c r="Q113" i="5"/>
  <c r="R113" i="5" s="1"/>
  <c r="S113" i="5" s="1"/>
  <c r="Q121" i="5"/>
  <c r="R121" i="5" s="1"/>
  <c r="S121" i="5" s="1"/>
  <c r="Q20" i="5"/>
  <c r="R20" i="5" s="1"/>
  <c r="S20" i="5" s="1"/>
  <c r="Q27" i="5"/>
  <c r="R27" i="5" s="1"/>
  <c r="S27" i="5" s="1"/>
  <c r="Q36" i="5"/>
  <c r="R36" i="5" s="1"/>
  <c r="S36" i="5" s="1"/>
  <c r="Q43" i="5"/>
  <c r="R43" i="5" s="1"/>
  <c r="S43" i="5" s="1"/>
  <c r="Q52" i="5"/>
  <c r="R52" i="5" s="1"/>
  <c r="S52" i="5" s="1"/>
  <c r="Q59" i="5"/>
  <c r="R59" i="5" s="1"/>
  <c r="S59" i="5" s="1"/>
  <c r="Q68" i="5"/>
  <c r="R68" i="5" s="1"/>
  <c r="S68" i="5" s="1"/>
  <c r="Q75" i="5"/>
  <c r="R75" i="5" s="1"/>
  <c r="S75" i="5" s="1"/>
  <c r="Q84" i="5"/>
  <c r="R84" i="5" s="1"/>
  <c r="S84" i="5" s="1"/>
  <c r="Q91" i="5"/>
  <c r="R91" i="5" s="1"/>
  <c r="S91" i="5" s="1"/>
  <c r="Q100" i="5"/>
  <c r="R100" i="5" s="1"/>
  <c r="S100" i="5" s="1"/>
  <c r="Q115" i="5"/>
  <c r="R115" i="5" s="1"/>
  <c r="S115" i="5" s="1"/>
  <c r="Q23" i="5"/>
  <c r="R23" i="5" s="1"/>
  <c r="S23" i="5" s="1"/>
  <c r="Q48" i="5"/>
  <c r="R48" i="5" s="1"/>
  <c r="S48" i="5" s="1"/>
  <c r="Q80" i="5"/>
  <c r="R80" i="5" s="1"/>
  <c r="S80" i="5" s="1"/>
  <c r="Q103" i="5"/>
  <c r="R103" i="5" s="1"/>
  <c r="S103" i="5" s="1"/>
  <c r="F15" i="13"/>
  <c r="D15" i="13" s="1"/>
  <c r="Q18" i="5"/>
  <c r="R18" i="5" s="1"/>
  <c r="S18" i="5" s="1"/>
  <c r="U104" i="7"/>
  <c r="D17" i="10" s="1"/>
  <c r="S126" i="5" l="1"/>
  <c r="D15" i="10" s="1"/>
  <c r="D19" i="10" s="1"/>
  <c r="D23" i="13" s="1"/>
  <c r="D28" i="13" s="1"/>
  <c r="H18" i="19" s="1"/>
  <c r="R126"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<sst xmlns="http://schemas.openxmlformats.org/spreadsheetml/2006/main" count="2116" uniqueCount="685">
  <si>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</si>
  <si>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</si>
  <si>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</si>
  <si>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</si>
  <si>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</si>
  <si>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</si>
  <si>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</si>
  <si>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</si>
  <si>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</si>
  <si>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</si>
  <si>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</si>
  <si>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</si>
  <si>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</si>
  <si>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</si>
  <si>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</si>
  <si>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</si>
  <si>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</si>
  <si>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</si>
  <si>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</si>
  <si>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</si>
  <si>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</si>
  <si>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</si>
  <si>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</si>
  <si>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</si>
  <si>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</si>
  <si>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</si>
  <si>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</si>
  <si>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</si>
  <si>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</si>
  <si>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</si>
  <si>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</si>
  <si>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</si>
  <si>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</si>
  <si>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</si>
  <si>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</si>
  <si>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</si>
  <si>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</si>
  <si>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</si>
  <si>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</si>
  <si>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</si>
  <si>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</si>
  <si>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</si>
  <si>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</si>
  <si>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</si>
  <si>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</si>
  <si>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</si>
  <si>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</si>
  <si>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</si>
  <si>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</si>
  <si>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</si>
  <si>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</si>
  <si>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</si>
  <si>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</si>
  <si>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</si>
  <si>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</si>
  <si>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</si>
  <si>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</si>
  <si>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</si>
  <si>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</si>
  <si>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</si>
  <si>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</si>
  <si>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</si>
  <si>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</si>
  <si>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</si>
  <si>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</si>
  <si>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</si>
  <si>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</si>
  <si>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</si>
  <si>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</si>
  <si>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</si>
  <si>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</si>
  <si>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</si>
  <si>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</si>
  <si>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</si>
  <si>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</si>
  <si>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</si>
  <si>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</si>
  <si>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</si>
  <si>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</si>
  <si>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</si>
  <si>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</si>
  <si>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</si>
  <si>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</si>
  <si>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</si>
  <si>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</si>
  <si>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</si>
  <si>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</si>
  <si>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</si>
  <si>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</si>
  <si>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</si>
  <si>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</si>
  <si>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</si>
  <si>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</si>
  <si>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</si>
  <si>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</si>
  <si>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</si>
  <si>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</si>
  <si>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</si>
  <si>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</si>
  <si>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</si>
  <si>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</si>
  <si>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</si>
  <si>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</si>
  <si>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</si>
  <si>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</si>
  <si>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</si>
  <si>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</si>
  <si>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</si>
  <si>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</si>
  <si>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</si>
  <si>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</si>
  <si>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</si>
  <si>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</si>
  <si>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</si>
  <si>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</si>
  <si>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</si>
  <si>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</si>
  <si>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</si>
  <si>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</si>
  <si>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</si>
  <si>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</si>
  <si>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</si>
  <si>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</si>
  <si>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</si>
  <si>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</si>
  <si>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</si>
  <si>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</si>
  <si>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</si>
  <si>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</si>
  <si>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</si>
  <si>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</si>
  <si>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</si>
  <si>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</si>
  <si>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</si>
  <si>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</si>
  <si>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</si>
  <si>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</si>
  <si>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</si>
  <si>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</si>
  <si>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</si>
  <si>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</si>
  <si>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</si>
  <si>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</si>
  <si>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</si>
  <si>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</si>
  <si>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</si>
  <si>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</si>
  <si>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</si>
  <si>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</si>
  <si>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</si>
  <si>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</si>
  <si>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</si>
  <si>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</si>
  <si>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</si>
  <si>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</si>
  <si>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</si>
  <si>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</si>
  <si>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</si>
  <si>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</si>
  <si>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</si>
  <si>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</si>
  <si>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</si>
  <si>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</si>
  <si>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</si>
  <si>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</si>
  <si>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</si>
  <si>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</si>
  <si>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</si>
  <si>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</si>
  <si>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</si>
  <si>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</si>
  <si>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</si>
  <si>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</si>
  <si>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</si>
  <si>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</si>
  <si>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</si>
  <si>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</si>
  <si>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</si>
  <si>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</si>
  <si>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</si>
  <si>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</si>
  <si>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</si>
  <si>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</si>
  <si>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</si>
  <si>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</si>
  <si>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</si>
  <si>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</si>
  <si>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</si>
  <si>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</si>
  <si>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</si>
  <si>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</si>
  <si>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</si>
  <si>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</si>
  <si>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</si>
  <si>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</si>
  <si>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</si>
  <si>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</si>
  <si>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</si>
  <si>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</si>
  <si>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</si>
  <si>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</si>
  <si>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</si>
  <si>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</si>
  <si>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</si>
  <si>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</si>
  <si>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</si>
  <si>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</si>
  <si>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</si>
  <si>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</si>
  <si>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</si>
  <si>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</si>
  <si>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</si>
  <si>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</si>
  <si>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</si>
  <si>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</si>
  <si>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</si>
  <si>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</si>
  <si>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</si>
  <si>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</si>
  <si>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</si>
  <si>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</si>
  <si>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</si>
  <si>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</si>
  <si>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</si>
  <si>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</si>
  <si>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</si>
  <si>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</si>
  <si>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</si>
  <si>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</si>
  <si>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</si>
  <si>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</si>
  <si>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</si>
  <si>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</si>
  <si>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</si>
  <si>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</si>
  <si>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</si>
  <si>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</si>
  <si>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</si>
  <si>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</si>
  <si>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</si>
  <si>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</si>
  <si>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</si>
  <si>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</si>
  <si>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</si>
  <si>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</si>
  <si>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</si>
  <si>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</si>
  <si>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</si>
  <si>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</si>
  <si>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</si>
  <si>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</si>
  <si>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</si>
  <si>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</si>
  <si>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</si>
  <si>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</si>
  <si>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</si>
  <si>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</si>
  <si>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</si>
  <si>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</si>
  <si>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</si>
  <si>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</si>
  <si>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</si>
  <si>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</si>
  <si>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</si>
  <si>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</si>
  <si>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</si>
  <si>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</si>
  <si>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</si>
  <si>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</si>
  <si>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</si>
  <si>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</si>
  <si>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</si>
  <si>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</si>
  <si>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</si>
  <si>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</si>
  <si>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</si>
  <si>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</si>
  <si>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</si>
  <si>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</si>
  <si>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</si>
  <si>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</si>
  <si>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</si>
  <si>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</si>
  <si>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</si>
  <si>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</si>
  <si>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</si>
  <si>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</si>
  <si>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</si>
  <si>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</si>
  <si>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</si>
  <si>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</si>
  <si>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</si>
  <si>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</si>
  <si>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</si>
  <si>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</si>
  <si>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</si>
  <si>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</si>
  <si>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</si>
  <si>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</si>
  <si>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MT </t>
  </si>
  <si>
    <t xml:space="preserve">EA </t>
  </si>
  <si>
    <t>SET</t>
  </si>
  <si>
    <t xml:space="preserve">KM </t>
  </si>
  <si>
    <t xml:space="preserve">M3 </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</si>
  <si>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</si>
  <si>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</si>
  <si>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</si>
  <si>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</si>
  <si>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</si>
  <si>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</si>
  <si>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</si>
  <si>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</si>
  <si>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</si>
  <si>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</si>
  <si>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</si>
  <si>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</si>
  <si>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</si>
  <si>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</si>
  <si>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</si>
  <si>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</si>
  <si>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</si>
  <si>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</si>
  <si>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</si>
  <si>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</si>
  <si>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</si>
  <si>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</si>
  <si>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</si>
  <si>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</si>
  <si>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</si>
  <si>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</si>
  <si>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</si>
  <si>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</si>
  <si>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</si>
  <si>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</si>
  <si>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</si>
  <si>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r>
      <t>Discount on percent basis on total price quoted by us without GST.</t>
    </r>
    <r>
      <rPr>
        <sz val="11"/>
        <rFont val="Book Antiqua"/>
        <family val="1"/>
      </rPr>
      <t xml:space="preserve"> [The discount shall be proportionately applicable on all the items of all the Schdules i.e. Sch-1 (without type test charges), Sch-2 , Sch-3, Sch-4 &amp; Sch-7] </t>
    </r>
    <r>
      <rPr>
        <b/>
        <sz val="11"/>
        <rFont val="Book Antiqua"/>
        <family val="1"/>
      </rPr>
      <t>In Percent (%)</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</si>
  <si>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</si>
  <si>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</si>
  <si>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</si>
  <si>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</si>
  <si>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</si>
  <si>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</si>
  <si>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</si>
  <si>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</si>
  <si>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</si>
  <si>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</si>
  <si>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</si>
  <si>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</si>
  <si>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</si>
  <si>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</si>
  <si>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</si>
  <si>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</si>
  <si>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</si>
  <si>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</si>
  <si>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</si>
  <si>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</si>
  <si>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</si>
  <si>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</si>
  <si>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</si>
  <si>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</si>
  <si>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</si>
  <si>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</si>
  <si>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</si>
  <si>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</si>
  <si>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</si>
  <si>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</si>
  <si>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</si>
  <si>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</si>
  <si>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</si>
  <si>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</si>
  <si>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</si>
  <si>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</si>
  <si>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</si>
  <si>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</si>
  <si>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</si>
  <si>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</si>
  <si>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</si>
  <si>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</si>
  <si>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</si>
  <si>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</si>
  <si>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</si>
  <si>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</si>
  <si>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</si>
  <si>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</si>
  <si>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</si>
  <si>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</si>
  <si>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</si>
  <si>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</si>
  <si>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</si>
  <si>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</si>
  <si>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</si>
  <si>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</si>
  <si>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</si>
  <si>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</si>
  <si>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</si>
  <si>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</si>
  <si>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</si>
  <si>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</si>
  <si>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</si>
  <si>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</si>
  <si>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</si>
  <si>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</si>
  <si>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</si>
  <si>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</si>
  <si>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</si>
  <si>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</si>
  <si>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</si>
  <si>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</si>
  <si>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</si>
  <si>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</si>
  <si>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</si>
  <si>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</si>
  <si>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</si>
  <si>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</si>
  <si>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</si>
  <si>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</si>
  <si>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</si>
  <si>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</si>
  <si>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</si>
  <si>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</si>
  <si>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</si>
  <si>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</si>
  <si>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</si>
  <si>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</si>
  <si>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</si>
  <si>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</si>
  <si>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</si>
  <si>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</si>
  <si>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</si>
  <si>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</si>
  <si>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</si>
  <si>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</si>
  <si>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</si>
  <si>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</si>
  <si>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</si>
  <si>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</si>
  <si>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</si>
  <si>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</si>
  <si>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</si>
  <si>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</si>
  <si>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</si>
  <si>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</si>
  <si>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</si>
  <si>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</si>
  <si>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</si>
  <si>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</si>
  <si>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</si>
  <si>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</si>
  <si>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</si>
  <si>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</si>
  <si>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</si>
  <si>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</si>
  <si>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</si>
  <si>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</si>
  <si>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</si>
  <si>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</si>
  <si>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</si>
  <si>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</si>
  <si>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</si>
  <si>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</si>
  <si>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</si>
  <si>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</si>
  <si>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</si>
  <si>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</si>
  <si>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</si>
  <si>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</si>
  <si>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</si>
  <si>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</si>
  <si>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</si>
  <si>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</si>
  <si>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</si>
  <si>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</si>
  <si>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</si>
  <si>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</si>
  <si>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</si>
  <si>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 including Type Test charges</t>
  </si>
  <si>
    <t xml:space="preserve">M  </t>
  </si>
  <si>
    <t xml:space="preserve">M2 </t>
  </si>
  <si>
    <t>Sub Lighting panel (outdoor) type SLP (Switchyard and Street Lighting)</t>
  </si>
  <si>
    <t xml:space="preserve">LS </t>
  </si>
  <si>
    <t>1.1kV grade Power Cables (PVCinsulated)along withlugs,glands,straight joints &amp;accessories,etc.</t>
  </si>
  <si>
    <t>1.1kV grade Control Cables (PVCinsulated) along withlugs,glands,straight joints &amp;accessories,etc.</t>
  </si>
  <si>
    <t>40 mm MS rod for Main Earthmat</t>
  </si>
  <si>
    <t>Excavation in all kind of soil including  rock  for all leads and lifts, backfilling, disposal of surplus earth within a lead up to2Km as per technical specification. The surplus earth shall be roughly graded .</t>
  </si>
  <si>
    <t>Providing and laying of Plain Cement Concrete (PCC) (1:4:8)</t>
  </si>
  <si>
    <t>Providing and laying of Plain Cement Concrete (PCC) (1:2:4)</t>
  </si>
  <si>
    <t>Providing and laying of Reinforced Cement Concrete M25 mix including pre cast, shuttering, Grouting of pockets &amp; underpinning butexcluding steel reinforcement</t>
  </si>
  <si>
    <t>Steel Reinforcement</t>
  </si>
  <si>
    <t>Misc. Structural steel including rails, embedments, edge protection angles, gratings etc. but excluding the reinforcement steel andsteel for lattice and pipe structures.</t>
  </si>
  <si>
    <t>Stone spreading in switchyard excluding PCC</t>
  </si>
  <si>
    <t>Antiweed treatment</t>
  </si>
  <si>
    <t>RCC culverts and cable trench crossings including supplying and laying hume pipe 250mm dia of grade (NP-3) excluding concrete as perspecification.</t>
  </si>
  <si>
    <t>RCC culverts and cable trench crossings including supplying and laying hume pipe 450mm dia of grade (NP-3) excluding concrete as perspecification.</t>
  </si>
  <si>
    <t>Whether HSN in column ‘6’ is confirmed. If not,  indicate applicable the HSN code #</t>
  </si>
  <si>
    <t>Whether  rate of GST in column ‘8’ is confirmed. If not,  indicate applicable rate of GST #</t>
  </si>
  <si>
    <t>Whether SAC in column ‘8’ is confirmed. If not,  indicate applicable the SAC #</t>
  </si>
  <si>
    <t>Whether  rate of GST in column ‘10’ is confirmed. If not  indicate applicable rate of GST #</t>
  </si>
  <si>
    <t>Providing and laying Plain Cement Concrete 1:5:10 (1 cement : 5 sand : 10 brick aggregate)</t>
  </si>
  <si>
    <t>Supplying, filling and compacting stone boulders mixed with sand under foundations, roads, cable trenches, drains etc in layers notexceeding 250mm thickness including ramming, watering compacting</t>
  </si>
  <si>
    <t>Schedule - 6 (after discount)</t>
  </si>
  <si>
    <t>Schedule - 5 (after discount)</t>
  </si>
  <si>
    <t>ORIGINAL</t>
  </si>
  <si>
    <t>Total Ex-Works Price</t>
  </si>
  <si>
    <t>336kV Surge Arrester (1-phase)</t>
  </si>
  <si>
    <t>Coupling device for PLCC</t>
  </si>
  <si>
    <t>Digital Protection Coupler</t>
  </si>
  <si>
    <t>LOT</t>
  </si>
  <si>
    <t xml:space="preserve">Civil Works                             </t>
  </si>
  <si>
    <t>420KV, 1-PHASE BUS POST INSULATORS</t>
  </si>
  <si>
    <t>Protection Coupler (Analog)</t>
  </si>
  <si>
    <t>Carrier Equipment Analog type (for Speech+Data &amp; Speech+Protection)</t>
  </si>
  <si>
    <t>Tributary interface- E1 interface (Minimum 16 nos.)</t>
  </si>
  <si>
    <t>Equipment Cabinets-For SDH Equipments</t>
  </si>
  <si>
    <t>NMS-Craft Terminal-Hardware</t>
  </si>
  <si>
    <t>NMS-Craft Terminal-Software</t>
  </si>
  <si>
    <t>VOIP telephone instrument with one common switch (min. 8 port)</t>
  </si>
  <si>
    <t>Service:- Phasor Measurement Unit (PMU)</t>
  </si>
  <si>
    <t>WAMS TIME SYSTEM(GPS RECEIVER)</t>
  </si>
  <si>
    <t>Installation of Substation Grade Layer-3 LAN Switches as per Technical Specification</t>
  </si>
  <si>
    <t>Services:- Armored Fibre Optic Cable and associated termination equipment</t>
  </si>
  <si>
    <t>Integration of PMU with the PDC (Phasor Data Concentrator) of RLDCs and respective SLDCs as required.</t>
  </si>
  <si>
    <t>qty changed</t>
  </si>
  <si>
    <t xml:space="preserve">LT Switchgear                           </t>
  </si>
  <si>
    <t>SF6 GAS ANALYZER</t>
  </si>
  <si>
    <t>SF6 Gas Leakage Detector</t>
  </si>
  <si>
    <t>Lighting Panel type ACP-3 as per technical specification</t>
  </si>
  <si>
    <t>Schedule - 2</t>
  </si>
  <si>
    <t>415V ACDB (Extn.)</t>
  </si>
  <si>
    <t>HF CABLE FOR PLCC-75 OHM (KM)</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</si>
  <si>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</si>
  <si>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</si>
  <si>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Ethernet Interface 10/100 Base T with Layer-2 switching (Min 8 Interfaces per card)</t>
  </si>
  <si>
    <t>Tributary interface-Gigabit Ethernet Interfaces 10/100 Mbps with Layer -2 Switching (minimum 2 nos.)</t>
  </si>
  <si>
    <t>3.75m wide Cement Concrete road with PCC shoulder including 100 mm dia RCC Hume Pipe @ 100 metre interval as per drawing and TS.However, reinforcement steel and all type concrete shall be paid separately under relevant items</t>
  </si>
  <si>
    <t>Chain link fencing as per tender drawing &amp; technical specification. All type of concrete shall be paid as per relevant items of BPS.</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</si>
  <si>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</si>
  <si>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</si>
  <si>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Lighting Fixture LED Luminaires type SL-D1 as per tech. specifications</t>
  </si>
  <si>
    <t>Switchyard Gate excluding Concrete</t>
  </si>
  <si>
    <t>RCC culverts and cable trench crossings including supplying and laying hume pipe 300mm dia of grade (NP-3) excluding concrete as perspecification.</t>
  </si>
  <si>
    <t>SS01</t>
  </si>
  <si>
    <t>Schedule-1</t>
  </si>
  <si>
    <t xml:space="preserve">Substation Package SS01 for extension of 400kV Gorakhpur Substation through GIS bays for termination of 400 KV D/C New Butwal - Gorakhpur Transmission Line under Cross Border Interconnection
</t>
  </si>
  <si>
    <t>Specification No.: 5002002330/CONSULTANCY GIVEN/DOM/A06-CC CS -7</t>
  </si>
  <si>
    <t>400 KV Gorakhpur Extn GIS bays</t>
  </si>
  <si>
    <t xml:space="preserve">420kV, 50kA GIS Equipment               </t>
  </si>
  <si>
    <t xml:space="preserve">GIS Common Equipment                    </t>
  </si>
  <si>
    <t xml:space="preserve">420kV, 50kA AIS EQUIPMENT               </t>
  </si>
  <si>
    <t xml:space="preserve">Erection Hardware for 420 kV GIS        </t>
  </si>
  <si>
    <t xml:space="preserve">Earthmat                                </t>
  </si>
  <si>
    <t xml:space="preserve">CRP for  conventianal 420kV Bays        </t>
  </si>
  <si>
    <t xml:space="preserve">PLCC Equipment at Gorakhpur end         </t>
  </si>
  <si>
    <t xml:space="preserve">POWER &amp; CONTROL CABLE                   </t>
  </si>
  <si>
    <t xml:space="preserve">FIRE FIGHTING SYSTEM                    </t>
  </si>
  <si>
    <t xml:space="preserve">ILLUMINATION SYSTEM                     </t>
  </si>
  <si>
    <t xml:space="preserve">400 kV TOWERS                           </t>
  </si>
  <si>
    <t xml:space="preserve">400kV Equipment support structures      </t>
  </si>
  <si>
    <t xml:space="preserve">MANDATORY SPARES -LOT                   </t>
  </si>
  <si>
    <t xml:space="preserve">MANDATORY SPARES GIS                    </t>
  </si>
  <si>
    <t xml:space="preserve">PLCC Equipment at New Butwal end        </t>
  </si>
  <si>
    <t xml:space="preserve">DSLP                                    </t>
  </si>
  <si>
    <t xml:space="preserve">TELE EQPT                               </t>
  </si>
  <si>
    <t xml:space="preserve">Spares-Tele Eqpt                        </t>
  </si>
  <si>
    <t xml:space="preserve">PMU and associated eqpt. supply         </t>
  </si>
  <si>
    <t xml:space="preserve">Mandatory Spares- SAS                   </t>
  </si>
  <si>
    <t>420kV, 4000 A, 50 kA, SF6 GIS Bus barmodule as per Section-Project,Technical specification</t>
  </si>
  <si>
    <t>420 kV, 3150 A, 50 kA, SF6 GIS Linefeeder bay module(without PIR) as perSection-Project, Technicalspecification</t>
  </si>
  <si>
    <t>420kV, 3150 A, 50 kA, SF6 GIS Tie baymodule(without PIR) as perSection-Project, Technicalspecification</t>
  </si>
  <si>
    <t>3150A, 50kA, 1sec Single phase 420kV SF6to Air Bushing</t>
  </si>
  <si>
    <t>420kV, 4000A,50kA, Single phase SF6 GasInsulated Bus Duct (GIB) outside GISHall alongwith associated supportstructure</t>
  </si>
  <si>
    <t>420kV, 3000A, 50kA, Single phase, SF6Gas Insulated Bus Duct (GIB) outsideGIS Hall alongwith associated supportstructure</t>
  </si>
  <si>
    <t>420KV, 4000A, 50KA SF6 TO AIR BUSHING</t>
  </si>
  <si>
    <t>420 kV, 4400 pF Capacitive Voltage Transformer (1-Phase)</t>
  </si>
  <si>
    <t>420 kV, 1 phase Bus Post Insulator (except for Line Traps)</t>
  </si>
  <si>
    <t>420 kV ,1 phase Bus Post Insulators for Line Traps</t>
  </si>
  <si>
    <t>Erection Hardware for 400kV I type layout for GIS terminationarrangement-Line bay as per technical specification</t>
  </si>
  <si>
    <t>400KV  ERECTION HARDWARE  ERECTION HARDWARE SUCH AS BUS POSTINSULATORS, INSULATORS STRINGS, DISC INSULATORS, HARDWARE, SPACERS,CONDUCTOR, CABLE TRAYS, HARDWARE CLAMPS, CONNECTORS INCLUDINGEQUIPMENT CONNECTORS, JUNCTION BOX, EARTH WIRE, LIGHTING PROTECTION,BURIED CABLE TRENCHES/PIPES FOR EQUIPMENT &amp; LIGHTING ALL ACCESSORIESETC FOR COMPLETION OF SCOPE.</t>
  </si>
  <si>
    <t>40 MM MS ROD FOR MAIN EARTHMAT</t>
  </si>
  <si>
    <t>400kV Circuit Breaker Relay Panel with Auto Reclose</t>
  </si>
  <si>
    <t>400kV Line Protection Panel</t>
  </si>
  <si>
    <t>Augmentation of existing 400kV bus bar protection scheme</t>
  </si>
  <si>
    <t>Control panel for 400kV Diameter (For One-half Breaker Scheme)</t>
  </si>
  <si>
    <t>HF CABLE 75 OHMS FOR PLCC</t>
  </si>
  <si>
    <t>Analog Protection Coupler for PLCC</t>
  </si>
  <si>
    <t>400kV,3150A,0.5mH , 50kA Line Trap</t>
  </si>
  <si>
    <t>22.5 kg Dry Chemical Power (DCP) type Fire extinguisher</t>
  </si>
  <si>
    <t>5kg CO2 type Portable Fire Extinguisher</t>
  </si>
  <si>
    <t>LIGHTING FIXTURE LED LUMINAIRES TYPE FL2 AS PER TECH. SPECIFICATIONS</t>
  </si>
  <si>
    <t>LED FLOOD LIGHT LUMINARIESTYPE FL-1 (150W) AS PER TECHNICALSPECIFICATION</t>
  </si>
  <si>
    <t>Fabrication, galvanising and supply of Standard 400 kV Tower TAincluding nuts, bolts, all type of washers, packplates, step bolts andgusset plates excluding foundation bolts</t>
  </si>
  <si>
    <t>Fabrication, galvanising and supply of Standard 400 kV Tower TBincluding nuts, bolts, all type of washers, packplates, step bolts andgusset plates excluding foundation bolts</t>
  </si>
  <si>
    <t>Fabrication, galvanising and supply of Standard 400 kV Gantry G1including nuts, bolts, all type of washers, packplates, step bolts andgusset plates excluding foundation bolts</t>
  </si>
  <si>
    <t>Standard Pipe Structure for 400kV BPI (excluding wave trap)</t>
  </si>
  <si>
    <t>Fabrication, galvanising and supply of Standard Pipe Structure - 400kV  CVT including nuts, bolts, all type of washers, packplates, stepbolts and gusset plates excluding foundation bolts</t>
  </si>
  <si>
    <t>Fabrication, galvanising and supply ofStandard Pipe Structure - 400 kV,1-Phase,   SA including nuts, bolts,all type of washers, packplates, stepbolts and gusset plates excludingfoundation bolts</t>
  </si>
  <si>
    <t>Standard Pipe Structure for 400kV BPI for WT (1- phase)</t>
  </si>
  <si>
    <t>SPARES FOR 336KV SURGE ARRESTER</t>
  </si>
  <si>
    <t>Spare-C &amp; R Panel</t>
  </si>
  <si>
    <t>Spare-420kV CVT 1</t>
  </si>
  <si>
    <t>Spare-PLCC</t>
  </si>
  <si>
    <t>SF6 gas Pressure Relief Devices, 1Nos. of each type</t>
  </si>
  <si>
    <t>SF6 Pressure gauge cum switch OR Density monitors and pressure switchas applicable (1 no. of each type)</t>
  </si>
  <si>
    <t>Coupling device for pressure gauge cum switch for connecting Gashandling plant</t>
  </si>
  <si>
    <t>Rubber gaskets, `O' rings and seals for SF6 gas of each type for 420kVGIS Circuit Breaker</t>
  </si>
  <si>
    <t>Molecular filter for SF6 gas with filter bags(20% of total weight)</t>
  </si>
  <si>
    <t>All types of Control Valves for SF6 gas of each type</t>
  </si>
  <si>
    <t>Locking device to keep the Dis-connectors (Isolators) and Earthingswitches in close or open position in case of removal of the drivingMechanism</t>
  </si>
  <si>
    <t>Bus Support insulator of each type for 3 phase/single phase enclosure</t>
  </si>
  <si>
    <t>SF6 Gas (20% of total gas quantity)</t>
  </si>
  <si>
    <t>AUX. RELAYS, CONTACTOR, PUSH BUTTONS, SWITCHES, LAMPS, ANNUNCIATIONWINDOWS, MCB, FUSES, TIMERS ETC. OF EACH TYPE &amp; RATING</t>
  </si>
  <si>
    <t>DRIVE MECHANISM FOR 400KV GIS MAINTENANCE EARTH SWITCH OF EACH TYPE ASPER TS.</t>
  </si>
  <si>
    <t>DRIVE MECHANISM FOR 400KV GIS ISOLATOR OF EACH TYPE AS PER TS.</t>
  </si>
  <si>
    <t>GAS BARRIERS OF EACH TYPE AS PER TS.</t>
  </si>
  <si>
    <t>MOTOR FOR DRIVE MECHANISM FOR 400KV GIS MAINTENANCE EARTH SWITCH OFEACH TYPE AS PER TS.</t>
  </si>
  <si>
    <t>MOTOR FOR DRIVE MECHANISM FOR 400KV GIS ISOLATOR OF EACH TYPE AS PERTS.</t>
  </si>
  <si>
    <t>OPERATION COUNTER FOR 400KV SF6 CIRCUIT BREAKER</t>
  </si>
  <si>
    <t>UHF PD SENSORS OF EACH TYPE ALONG WITH BNC CONNECTOR AS PER TS.</t>
  </si>
  <si>
    <t>Closing coil assembly with resistor for420kV GIS Circuit Breaker (asapplicable)</t>
  </si>
  <si>
    <t>Relays, Power contactors, push buttons, timers &amp; MCBs etc of each type&amp;rating for 420kV GIS Circuit Breaker</t>
  </si>
  <si>
    <t>Trip coil assembly with resistor for420kV GIS Circuit Breaker (asapplicable)</t>
  </si>
  <si>
    <t>Auxiliary switch assembly of each type for 420kV GIS Circuit Breaker</t>
  </si>
  <si>
    <t>Complete set of single phase / 3-phase 420kV GIS dis-connectorincluding main circuit, enclosure, driving mechanism.</t>
  </si>
  <si>
    <t>Single phase/3-phase 420kV GIS earthing switch of including maincircuit, enclosure, driving mechanism.</t>
  </si>
  <si>
    <t>Open / Close contactor assembly, timers, key interlock for onecomplete 420kV GIS (3 phase) dis-connector and (3 phase) earthingswitch of each type and rating</t>
  </si>
  <si>
    <t>Push button switch.-each type, as applicable for 420kV GISdis-connector</t>
  </si>
  <si>
    <t>Limit switch and Aux. Switches for complete 3 phase 420kV Isolator</t>
  </si>
  <si>
    <t>Limit switch and Aux. Switches for complete 3 phase 420kV Earth Switch</t>
  </si>
  <si>
    <t>HIGH SPEED / FAST ACTING FAULT MAKING GROUNDING SWITCH 3 NOS OF SINGLEPHASE / 1 NO OF 3-PHASE OF EACH VOLTAGE RATING INCLUDING MAIN CIRCUIT,ENCLOSURE AND DRIVING MECHANISM.</t>
  </si>
  <si>
    <t>Complete pole of 420kV, 3150A,50kA SF6GIS Circuit Breaker complete withinterrupter, main circuit enclosure andMarshalling Box with operatingmechanism</t>
  </si>
  <si>
    <t>Lightening Mast(LM)-40m complete with foundation bolts/nuts platformsetc.</t>
  </si>
  <si>
    <t>415V MLDB (Extn.)</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</si>
  <si>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</si>
  <si>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S16.1 SFP</t>
  </si>
  <si>
    <t>Optical Line Interface card To support minimum 175 km</t>
  </si>
  <si>
    <t>TRIBUTARY INTERFACE- E1 INTERFACE (MINIMUM 16 NOS.)</t>
  </si>
  <si>
    <t>ETHERNET INTERFACE 10/100 BASE T WITH LAYER-2 SWITCHING (MIN 8INTERFACES PER CARD)</t>
  </si>
  <si>
    <t>TRIBUTARY INTERFACE-GIGABIT ETHERNET INTERFACES 10/100 MBPS WITH LAYER-2 SWITCHING (MINIMUM 2 NOS.)</t>
  </si>
  <si>
    <t>Equipment Cabinets For SDH</t>
  </si>
  <si>
    <t>NMS- CRAFT TERMINAL-HARDWARE</t>
  </si>
  <si>
    <t>Software for Craft Terminal</t>
  </si>
  <si>
    <t>VOIP TELEPHONE INSTRUMENT WITH ONE COMMON SWITCH (MIN. 8 PORT)</t>
  </si>
  <si>
    <t>SDH EQUIPMENT (STM-16 MADM UPTO 5 MSP PROTECTED DIRECTIONS)-COMMONCARDS, CROSS-CONNECT/CONTROL CARDS, OPTICAL BASE CARD, POWER SUPPLYCARDS, POWER CABLING, OTHER HARDWARE &amp; ACCESSORIES (EACH).</t>
  </si>
  <si>
    <t>PRE CONNECTORIZED OPTICAL FIBER PATCH CORDS(10 MTRS) â€“ PACK OF SIXPATCH CORDS</t>
  </si>
  <si>
    <t>PMU with GPS Clock (clock can be either internal or external)</t>
  </si>
  <si>
    <t>WAMS Hardware - Time System (GPS receiver)</t>
  </si>
  <si>
    <t>WAMS Hardware - Substation Grade Layer-3 LAN Switches with minimum 4 x10/100 Mbps Ethernet ports and 2 x 1 Gbps Ethernet ports</t>
  </si>
  <si>
    <t>WAMS Miscellaneous - Armored Fibre Optic Cable and associatedtermination (e.g. L2 Switch) for connecting PMU panels located indifferent control room of a station</t>
  </si>
  <si>
    <t>BAY CONTROL UNIT (IED) OF MAIN SYSTEM</t>
  </si>
  <si>
    <t>ETHERNET SWITCH SUITABLE FOR 19Ã‚â‚¬Â RACK MOUNTING WITH 24 FIBER OPTICPORTS</t>
  </si>
  <si>
    <t xml:space="preserve">400 KV Gorakhpur Extn GIS bays     </t>
  </si>
  <si>
    <t xml:space="preserve">PLCC Equipment                          </t>
  </si>
  <si>
    <t xml:space="preserve">Installation of DSLP                    </t>
  </si>
  <si>
    <t xml:space="preserve">Ser- Tele Eqpt                          </t>
  </si>
  <si>
    <t xml:space="preserve">PMU and associated eqpt. services       </t>
  </si>
  <si>
    <t>420kV, 4000 A, 50 kA, 3 -phase SF6 GIS bus bar</t>
  </si>
  <si>
    <t>420kV, 3150 A, 50 kA, SF6 GIS Tie bay module(without PIR) as per Section-Project, Technical specification</t>
  </si>
  <si>
    <t>420kV,3150A, 50kA, 1sec Single phase 420kV SF6 to Air</t>
  </si>
  <si>
    <t>420kV, 4000 A, 50 kA SF6 /Air Bushing for connecting GIS to AIS</t>
  </si>
  <si>
    <t>420kV, 3000A, 50kA,  Single phase, SF6Gas Insulated Bus Duct (GIB) outsideGIS Hall alongwith associated supportstructure</t>
  </si>
  <si>
    <t>420 kV, 3150 A, 50 kA, SF6 GIS Line feeder bay module(without PIR) as per Section-Project, Technical specification</t>
  </si>
  <si>
    <t>Erection Hardware for 400kV I type layout for GIS termination arrangement-Line bay as per technical specification</t>
  </si>
  <si>
    <t>400kV  Erection Hardware  erection hardware such as Bus post insulators, insulators strings, disc insulators, hardware, spacers,conductor, cable trays, hardware clamps, connectors including equipment connectors, junction box, earth wire, lighting protection,buried cable trenches/pipes for equipment &amp; lighting all accessoriesetc for completion of scope. .</t>
  </si>
  <si>
    <t>Installation of 22.5 kg Dry Chemical Power (DCP) type Portable /Trolley/Wheel mounted extinguishers</t>
  </si>
  <si>
    <t>Lighting Fixture LED Luminaires type FL2 as per tech. specifications</t>
  </si>
  <si>
    <t>Erection of Std 400 kV Tower TA including nuts, bolts, all type of washers, packplates, step bolts and gusset plates excludingfoundation bolts</t>
  </si>
  <si>
    <t>Erection of Std 400 kV Tower TB including nuts, bolts, all type of washers, packplates, step bolts and gusset plates excludingfoundation bolts</t>
  </si>
  <si>
    <t>Erection of Std 400 kV Gantry G1 including nuts, bolts, all type of washers, packplates, step bolts and gusset plates excludingfoundation bolts</t>
  </si>
  <si>
    <t>Erection of Pipe Structure - 400 kV, 1-Phase,   BPI, (Excluding Wave Trap),  including nuts, bolts, all  type of washers,packplates, step bolts and gusset plates excluding foundation bolts</t>
  </si>
  <si>
    <t>Erection of Pipe Structure - 400 kV 1-Phase CVT including nuts, bolts, all type of washers, packplates, step bolts and gusset platesexcluding foundation bolts</t>
  </si>
  <si>
    <t>Erection of Pipe Structure - 400 kV 1-Phase SA including nuts, bolts, all type of washers, packplates, step bolts and gusset platesexcluding foundation bolts</t>
  </si>
  <si>
    <t>Erection of Pipe Structure - 400 kV 1-Phase WT including nuts, bolts, all type of washers, packplates, step bolts and gusset platesexcluding foundation bolts</t>
  </si>
  <si>
    <t>Lightening Mast(LM)-40m complete with foundation bolts/nuts platforms etc.</t>
  </si>
  <si>
    <t>Optical Interface Card (to support minimum 175 kms) for STM-16</t>
  </si>
  <si>
    <t>Providing and laying of reinforced cement concrete for piling work of Grade M-25   ( Minimum cement content of 400Kg/cu.m.) ofspecified diameter &amp; length below the pile cap</t>
  </si>
  <si>
    <t>Boring, providing and installing bored cast-in-situ reinforced cement concrete pile of 600 mm dia and specified length below thepile cap to carry a safe working load not less than specified including the cost of boring, temporary casing, bentonite solutionetc. complete. The length of the piles shall be measured from bottom of the pile cap to the lowest point of pile. The cost ofreinforcement steel, cement concrete, routine and initial test shall be paid separately under respective items of BPS.</t>
  </si>
  <si>
    <t>Routine test-Vertical load testing of piles in accordance with IS 2911 (Part IV) including installation of loading platform andpreparation of pile head or construction of test cap and dismantling of test cap after test etc. complete as per specification &amp; thedirection of Engineer in-charge. - 600mm Dia pile</t>
  </si>
  <si>
    <t>Routine Pullout Test of piles in accordance with IS 2911(Part-IV) inlcuding T&amp;P, labour , hydraulic jack etc. complete-600mm diapile</t>
  </si>
  <si>
    <t>Routine test- Lateral load testing of single pile in accordance with IS Code of practice IS : 2911 (Part IV) for determining safeallowable lateral load on pile -600mm dia pile</t>
  </si>
  <si>
    <t>20.9 Integrity testing of Pile using Low Strain/ Sonic Integrity Test/ Sonic Echo Test method in accordance with IS 14893 includingsurface preparation of pile top by removing soil, mud, dust &amp; chipping lean concrete lumps etc. and use of computerised equipmentand high skill trained personal for conducting the test &amp; submission of results, all complete as per direction ofEngineer-in-charge.
Note: DSR unit is 'per test'</t>
  </si>
  <si>
    <t>All civil works for Drains construction of Section A-A including crossings if any as per technical specification and tender drawingscomplete in all respect with all labour and materials.</t>
  </si>
  <si>
    <t>All civil works for Drains construction of Section B-B including crossings if any as per technical specification and tender drawingscomplete in all respect with all labour and materials.</t>
  </si>
  <si>
    <t>All civil works for Drains construction of Section C-C including crossings if any as per technical specification and tender drawingscomplete in all respect with all labour and materials.</t>
  </si>
  <si>
    <t>All civil works for Drains construction of Section D-D including crossings if any as per technical specification and tender drawingscomplete in all respect with all labour and materials.</t>
  </si>
  <si>
    <t>Dismantling of existing Chain link fencing</t>
  </si>
  <si>
    <t xml:space="preserve"> Dismantling of existing -concrete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</si>
</sst>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6">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4"/>
      <color indexed="9"/>
      <name val="Book Antiqua"/>
      <family val="1"/>
    </font>
    <font>
      <sz val="14"/>
      <name val="Book Antiqua"/>
      <family val="1"/>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4"/>
      <color rgb="FF000000"/>
      <name val="Calibri"/>
      <family val="2"/>
    </font>
    <font>
      <b/>
      <sz val="14"/>
      <color theme="1"/>
      <name val="Book Antiqua"/>
      <family val="1"/>
    </font>
    <font>
      <b/>
      <sz val="14"/>
      <color rgb="FFFF0000"/>
      <name val="Book Antiqua"/>
      <family val="1"/>
    </font>
    <font>
      <b/>
      <sz val="16"/>
      <name val="Book Antiqu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2"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09">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2"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3" fillId="0" borderId="0" xfId="114" applyFont="1" applyBorder="1" applyAlignment="1" applyProtection="1">
      <alignment vertical="top"/>
      <protection hidden="1"/>
    </xf>
    <xf numFmtId="0" fontId="74" fillId="0" borderId="0" xfId="114" applyFont="1" applyBorder="1" applyAlignment="1" applyProtection="1">
      <alignment vertical="top"/>
      <protection hidden="1"/>
    </xf>
    <xf numFmtId="2" fontId="74" fillId="0" borderId="0" xfId="114" applyNumberFormat="1" applyFont="1" applyBorder="1" applyAlignment="1" applyProtection="1">
      <alignment vertical="top"/>
      <protection hidden="1"/>
    </xf>
    <xf numFmtId="174" fontId="73"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5"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6" fillId="0" borderId="9" xfId="0" applyFont="1" applyBorder="1" applyAlignment="1">
      <alignment horizontal="center" vertical="center" wrapText="1"/>
    </xf>
    <xf numFmtId="0" fontId="76"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5" fillId="10" borderId="9" xfId="0" applyFont="1" applyFill="1" applyBorder="1" applyAlignment="1">
      <alignment vertical="center" wrapText="1"/>
    </xf>
    <xf numFmtId="0" fontId="75" fillId="10" borderId="9" xfId="0" applyFont="1" applyFill="1" applyBorder="1" applyAlignment="1">
      <alignment horizontal="left" vertical="center" wrapText="1"/>
    </xf>
    <xf numFmtId="0" fontId="75" fillId="10" borderId="9" xfId="0" applyFont="1" applyFill="1" applyBorder="1" applyAlignment="1">
      <alignment horizontal="center" vertical="center" wrapText="1"/>
    </xf>
    <xf numFmtId="0" fontId="75" fillId="0" borderId="0" xfId="0" applyFont="1" applyAlignment="1" applyProtection="1">
      <alignment vertical="center" wrapText="1"/>
    </xf>
    <xf numFmtId="0" fontId="75" fillId="0" borderId="0" xfId="0" applyFont="1" applyAlignment="1" applyProtection="1">
      <alignment horizontal="center" vertical="center"/>
    </xf>
    <xf numFmtId="0" fontId="76" fillId="0" borderId="0" xfId="0" applyFont="1" applyAlignment="1" applyProtection="1">
      <alignment horizontal="center" vertical="center"/>
      <protection locked="0"/>
    </xf>
    <xf numFmtId="0" fontId="76" fillId="0" borderId="0" xfId="0" applyFont="1" applyAlignment="1">
      <alignment vertical="center"/>
    </xf>
    <xf numFmtId="0" fontId="4" fillId="0" borderId="0" xfId="0" applyFont="1" applyAlignment="1" applyProtection="1">
      <alignment horizontal="center" vertical="center"/>
    </xf>
    <xf numFmtId="0" fontId="76"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7" fillId="0" borderId="9" xfId="0" applyFont="1" applyFill="1" applyBorder="1" applyAlignment="1">
      <alignment horizontal="center" vertical="center" wrapText="1"/>
    </xf>
    <xf numFmtId="0" fontId="77"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5" fillId="0" borderId="9" xfId="0" applyFont="1" applyBorder="1" applyAlignment="1">
      <alignment vertical="center"/>
    </xf>
    <xf numFmtId="0" fontId="75" fillId="0" borderId="9" xfId="0" applyFont="1" applyBorder="1"/>
    <xf numFmtId="0" fontId="78" fillId="0" borderId="9" xfId="0" applyFont="1" applyBorder="1" applyAlignment="1">
      <alignment horizontal="center" vertical="center"/>
    </xf>
    <xf numFmtId="0" fontId="75" fillId="0" borderId="0" xfId="0" applyFont="1" applyAlignment="1" applyProtection="1">
      <alignment horizontal="center" vertical="center"/>
      <protection locked="0"/>
    </xf>
    <xf numFmtId="0" fontId="75"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7" fillId="11" borderId="9" xfId="0" applyFont="1" applyFill="1" applyBorder="1" applyAlignment="1">
      <alignment horizontal="center" vertical="top" wrapText="1"/>
    </xf>
    <xf numFmtId="0" fontId="77"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7" fillId="0" borderId="9" xfId="0" applyFont="1" applyBorder="1" applyAlignment="1">
      <alignment horizontal="center" vertical="top" wrapText="1"/>
    </xf>
    <xf numFmtId="0" fontId="77" fillId="0" borderId="9" xfId="0" applyFont="1" applyBorder="1" applyAlignment="1">
      <alignment vertical="top" wrapText="1"/>
    </xf>
    <xf numFmtId="0" fontId="76"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9" fillId="0" borderId="9" xfId="0" applyFont="1" applyBorder="1" applyAlignment="1">
      <alignment horizontal="center" vertical="center"/>
    </xf>
    <xf numFmtId="0" fontId="76" fillId="0" borderId="9" xfId="0" applyFont="1" applyBorder="1"/>
    <xf numFmtId="0" fontId="7" fillId="0" borderId="0" xfId="113" applyFont="1" applyAlignment="1" applyProtection="1">
      <alignment vertical="top"/>
      <protection hidden="1"/>
    </xf>
    <xf numFmtId="0" fontId="75"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2" fillId="0" borderId="18" xfId="0" applyNumberFormat="1" applyFont="1" applyFill="1" applyBorder="1" applyAlignment="1" applyProtection="1">
      <alignment horizontal="center" vertical="center"/>
    </xf>
    <xf numFmtId="0" fontId="75" fillId="3" borderId="14" xfId="109" applyFont="1" applyFill="1" applyBorder="1" applyAlignment="1" applyProtection="1">
      <alignment vertical="top" wrapText="1"/>
      <protection locked="0"/>
    </xf>
    <xf numFmtId="0" fontId="75" fillId="0" borderId="9" xfId="0" applyFont="1" applyFill="1" applyBorder="1" applyAlignment="1">
      <alignment vertical="top" wrapText="1"/>
    </xf>
    <xf numFmtId="0" fontId="73" fillId="0" borderId="0" xfId="0" applyFont="1" applyAlignment="1" applyProtection="1">
      <alignment horizontal="center" vertical="center"/>
    </xf>
    <xf numFmtId="0" fontId="78" fillId="0" borderId="0" xfId="0" applyFont="1" applyAlignment="1" applyProtection="1">
      <alignment horizontal="center" vertical="center"/>
    </xf>
    <xf numFmtId="0" fontId="75" fillId="0" borderId="0" xfId="0" applyFont="1" applyAlignment="1">
      <alignment horizontal="center" vertical="center"/>
    </xf>
    <xf numFmtId="0" fontId="75" fillId="0" borderId="9" xfId="0" applyFont="1" applyBorder="1" applyAlignment="1" applyProtection="1">
      <alignment horizontal="center" vertical="center"/>
    </xf>
    <xf numFmtId="0" fontId="75" fillId="0" borderId="0" xfId="0" applyFont="1" applyBorder="1" applyAlignment="1" applyProtection="1">
      <alignment horizontal="center" vertical="center"/>
    </xf>
    <xf numFmtId="0" fontId="75" fillId="0" borderId="0" xfId="0" applyFont="1" applyBorder="1" applyAlignment="1" applyProtection="1">
      <alignment vertical="center"/>
    </xf>
    <xf numFmtId="0" fontId="75" fillId="0" borderId="0" xfId="0" applyFont="1" applyBorder="1" applyAlignment="1" applyProtection="1">
      <alignment horizontal="center" vertical="center" wrapText="1"/>
    </xf>
    <xf numFmtId="0" fontId="75" fillId="0" borderId="9" xfId="0" applyFont="1" applyFill="1" applyBorder="1" applyAlignment="1">
      <alignment horizontal="center" vertical="top" wrapText="1"/>
    </xf>
    <xf numFmtId="164" fontId="75" fillId="3" borderId="18" xfId="8" applyFont="1" applyFill="1" applyBorder="1" applyAlignment="1" applyProtection="1">
      <alignment horizontal="right" vertical="top" wrapText="1"/>
      <protection locked="0"/>
    </xf>
    <xf numFmtId="164" fontId="75"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5"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5"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5" fillId="0" borderId="9" xfId="0" applyFont="1" applyBorder="1" applyAlignment="1">
      <alignment horizontal="center" vertical="top" wrapText="1"/>
    </xf>
    <xf numFmtId="0" fontId="75"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5"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5"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8"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58" fillId="0" borderId="24" xfId="0" applyNumberFormat="1" applyFont="1" applyFill="1" applyBorder="1" applyAlignment="1" applyProtection="1">
      <alignment horizontal="center" vertical="center"/>
    </xf>
    <xf numFmtId="0" fontId="58" fillId="0" borderId="25" xfId="0" applyNumberFormat="1" applyFont="1" applyFill="1" applyBorder="1" applyAlignment="1" applyProtection="1">
      <alignment horizontal="center" vertical="center"/>
    </xf>
    <xf numFmtId="0" fontId="80" fillId="0" borderId="0" xfId="0" applyFont="1" applyAlignment="1" applyProtection="1">
      <alignment horizontal="center" vertical="center"/>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7" fillId="0" borderId="0" xfId="0" applyFont="1" applyAlignment="1" applyProtection="1">
      <alignment horizontal="center" vertical="center"/>
    </xf>
    <xf numFmtId="0" fontId="77"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81"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5" fillId="0" borderId="9" xfId="0" applyFont="1" applyBorder="1" applyAlignment="1" applyProtection="1">
      <alignment horizontal="right" vertical="center"/>
      <protection locked="0"/>
    </xf>
    <xf numFmtId="164" fontId="75" fillId="0" borderId="9" xfId="8" applyFont="1" applyBorder="1" applyAlignment="1">
      <alignment horizontal="right" vertical="center"/>
    </xf>
    <xf numFmtId="164" fontId="78" fillId="0" borderId="9" xfId="8" applyFont="1" applyBorder="1" applyAlignment="1">
      <alignment horizontal="right" vertical="center"/>
    </xf>
    <xf numFmtId="164" fontId="75" fillId="0" borderId="9" xfId="8" applyFont="1" applyBorder="1" applyAlignment="1" applyProtection="1">
      <alignment horizontal="right" vertical="center"/>
      <protection locked="0"/>
    </xf>
    <xf numFmtId="164" fontId="78" fillId="0" borderId="9" xfId="8" applyFont="1" applyBorder="1" applyAlignment="1" applyProtection="1">
      <alignment horizontal="right" vertical="center"/>
      <protection locked="0"/>
    </xf>
    <xf numFmtId="2" fontId="75" fillId="0" borderId="9" xfId="0" applyNumberFormat="1" applyFont="1" applyBorder="1" applyAlignment="1" applyProtection="1">
      <alignment horizontal="right" vertical="center"/>
      <protection locked="0"/>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5"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2"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5"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8"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5"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8"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5" fillId="0" borderId="16" xfId="0" applyFont="1" applyBorder="1" applyAlignment="1" applyProtection="1"/>
    <xf numFmtId="0" fontId="76" fillId="0" borderId="16" xfId="0" applyFont="1" applyBorder="1" applyAlignment="1" applyProtection="1"/>
    <xf numFmtId="0" fontId="77"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0" fontId="58" fillId="13" borderId="9" xfId="0" applyNumberFormat="1" applyFont="1" applyFill="1" applyBorder="1" applyAlignment="1" applyProtection="1">
      <alignment horizontal="center" vertical="center" wrapText="1"/>
    </xf>
    <xf numFmtId="0" fontId="58" fillId="13" borderId="18" xfId="0" applyNumberFormat="1" applyFont="1" applyFill="1" applyBorder="1" applyAlignment="1" applyProtection="1">
      <alignment horizontal="center" vertical="top"/>
    </xf>
    <xf numFmtId="0" fontId="82" fillId="13" borderId="0" xfId="0" applyFont="1" applyFill="1" applyBorder="1" applyAlignment="1">
      <alignment vertical="top"/>
    </xf>
    <xf numFmtId="0" fontId="58" fillId="13" borderId="9" xfId="0" applyNumberFormat="1" applyFont="1" applyFill="1" applyBorder="1" applyAlignment="1" applyProtection="1">
      <alignment horizontal="center" vertical="top"/>
    </xf>
    <xf numFmtId="0" fontId="58" fillId="13" borderId="9" xfId="0" applyNumberFormat="1" applyFont="1" applyFill="1" applyBorder="1" applyAlignment="1" applyProtection="1">
      <alignment horizontal="center" vertical="top" wrapText="1"/>
    </xf>
    <xf numFmtId="0" fontId="58" fillId="13" borderId="14" xfId="0" applyNumberFormat="1" applyFont="1" applyFill="1" applyBorder="1" applyAlignment="1" applyProtection="1">
      <alignment horizontal="center" vertical="top"/>
    </xf>
    <xf numFmtId="0" fontId="58" fillId="13" borderId="15" xfId="0" applyNumberFormat="1" applyFont="1" applyFill="1" applyBorder="1" applyAlignment="1" applyProtection="1">
      <alignment horizontal="center" vertical="top"/>
    </xf>
    <xf numFmtId="0" fontId="80" fillId="13" borderId="0" xfId="0" applyFont="1" applyFill="1" applyAlignment="1" applyProtection="1">
      <alignment horizontal="center" vertical="top"/>
    </xf>
    <xf numFmtId="0" fontId="58" fillId="13" borderId="25" xfId="0" applyNumberFormat="1" applyFont="1" applyFill="1" applyBorder="1" applyAlignment="1" applyProtection="1">
      <alignment horizontal="center" vertical="center" wrapText="1"/>
    </xf>
    <xf numFmtId="0" fontId="62" fillId="13" borderId="0" xfId="0" applyFont="1" applyFill="1" applyBorder="1" applyAlignment="1" applyProtection="1">
      <alignment vertical="center" wrapText="1"/>
    </xf>
    <xf numFmtId="0" fontId="62" fillId="13" borderId="0" xfId="0" applyFont="1" applyFill="1" applyAlignment="1" applyProtection="1">
      <alignment vertical="center" wrapText="1"/>
    </xf>
    <xf numFmtId="0" fontId="61" fillId="13" borderId="0" xfId="0" applyFont="1" applyFill="1" applyAlignment="1" applyProtection="1">
      <alignment vertical="center" wrapText="1"/>
    </xf>
    <xf numFmtId="0" fontId="33" fillId="13" borderId="9" xfId="0" applyNumberFormat="1" applyFont="1" applyFill="1" applyBorder="1" applyAlignment="1" applyProtection="1">
      <alignment horizontal="center" vertical="center"/>
    </xf>
    <xf numFmtId="0" fontId="33" fillId="13" borderId="9" xfId="0" applyNumberFormat="1" applyFont="1" applyFill="1" applyBorder="1" applyAlignment="1" applyProtection="1">
      <alignment horizontal="center" vertical="center" wrapText="1"/>
    </xf>
    <xf numFmtId="0" fontId="83" fillId="13" borderId="9" xfId="0" applyFont="1" applyFill="1" applyBorder="1" applyAlignment="1">
      <alignment horizontal="center" vertical="center" wrapText="1"/>
    </xf>
    <xf numFmtId="0" fontId="70" fillId="13" borderId="0" xfId="0" applyFont="1" applyFill="1" applyAlignment="1" applyProtection="1">
      <alignment vertical="center"/>
    </xf>
    <xf numFmtId="0" fontId="71" fillId="13" borderId="0" xfId="0" applyFont="1" applyFill="1" applyAlignment="1" applyProtection="1">
      <alignment vertical="center"/>
    </xf>
    <xf numFmtId="43" fontId="75"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0" fontId="1" fillId="13" borderId="18" xfId="0" applyNumberFormat="1" applyFont="1" applyFill="1" applyBorder="1" applyAlignment="1" applyProtection="1">
      <alignment horizontal="center" vertical="top"/>
    </xf>
    <xf numFmtId="0" fontId="84" fillId="0" borderId="5" xfId="0" applyNumberFormat="1" applyFont="1" applyFill="1" applyBorder="1" applyAlignment="1" applyProtection="1">
      <alignment horizontal="right" vertical="center" wrapText="1"/>
    </xf>
    <xf numFmtId="0" fontId="85" fillId="0" borderId="5" xfId="0" applyNumberFormat="1" applyFont="1" applyFill="1" applyBorder="1" applyAlignment="1" applyProtection="1">
      <alignment horizontal="center" vertical="center"/>
    </xf>
    <xf numFmtId="0" fontId="75" fillId="9" borderId="9" xfId="0" applyFont="1" applyFill="1" applyBorder="1" applyAlignment="1">
      <alignment horizontal="center" vertical="top" wrapText="1"/>
    </xf>
    <xf numFmtId="10" fontId="2" fillId="9" borderId="18" xfId="111" applyNumberFormat="1" applyFont="1" applyFill="1" applyBorder="1" applyAlignment="1" applyProtection="1">
      <alignment horizontal="center" vertical="top" wrapText="1"/>
      <protection locked="0" hidden="1"/>
    </xf>
    <xf numFmtId="0" fontId="75" fillId="9" borderId="9" xfId="0" applyFont="1" applyFill="1" applyBorder="1" applyAlignment="1">
      <alignment vertical="top" wrapText="1"/>
    </xf>
    <xf numFmtId="43" fontId="75" fillId="9" borderId="0" xfId="0" applyNumberFormat="1" applyFont="1" applyFill="1" applyAlignment="1" applyProtection="1">
      <alignment horizontal="center" vertical="center"/>
    </xf>
    <xf numFmtId="0" fontId="75" fillId="9" borderId="0" xfId="0" applyFont="1" applyFill="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Alignment="1" applyProtection="1">
      <alignment vertical="center" wrapText="1"/>
    </xf>
    <xf numFmtId="0" fontId="2" fillId="0" borderId="0" xfId="0" applyFont="1" applyFill="1" applyAlignment="1" applyProtection="1">
      <alignment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5"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5" fillId="3" borderId="24" xfId="109" applyFont="1" applyFill="1" applyBorder="1" applyAlignment="1" applyProtection="1">
      <alignment horizontal="left" vertical="center"/>
      <protection locked="0"/>
    </xf>
    <xf numFmtId="0" fontId="75" fillId="3" borderId="3" xfId="109" applyFont="1" applyFill="1" applyBorder="1" applyAlignment="1" applyProtection="1">
      <alignment horizontal="left" vertical="center"/>
      <protection locked="0"/>
    </xf>
    <xf numFmtId="0" fontId="75"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5" fillId="3" borderId="59" xfId="109" applyFont="1" applyFill="1" applyBorder="1" applyAlignment="1" applyProtection="1">
      <alignment horizontal="left" vertical="center"/>
      <protection locked="0"/>
    </xf>
    <xf numFmtId="0" fontId="75"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5" fillId="0" borderId="0" xfId="0" applyFont="1" applyAlignment="1" applyProtection="1">
      <alignment horizontal="left" vertical="center"/>
    </xf>
    <xf numFmtId="0" fontId="78" fillId="12" borderId="9" xfId="0" applyFont="1" applyFill="1" applyBorder="1" applyAlignment="1" applyProtection="1">
      <alignment horizontal="left" vertical="center"/>
    </xf>
    <xf numFmtId="0" fontId="78"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8" fillId="0" borderId="0" xfId="0" applyFont="1" applyBorder="1" applyAlignment="1" applyProtection="1">
      <alignment horizontal="left" vertical="center"/>
    </xf>
    <xf numFmtId="1" fontId="78" fillId="9" borderId="0" xfId="109"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5" fillId="0" borderId="0" xfId="0" applyFont="1" applyBorder="1" applyAlignment="1" applyProtection="1">
      <alignment horizontal="righ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8" fillId="10" borderId="9"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left" vertical="center"/>
    </xf>
    <xf numFmtId="0" fontId="77" fillId="0" borderId="0" xfId="0" applyFont="1" applyAlignment="1" applyProtection="1">
      <alignment horizontal="left" vertical="center"/>
    </xf>
    <xf numFmtId="0" fontId="77" fillId="9" borderId="0" xfId="109" applyFont="1" applyFill="1" applyBorder="1" applyAlignment="1" applyProtection="1">
      <alignment horizontal="left" vertical="center" wrapText="1"/>
    </xf>
    <xf numFmtId="1" fontId="77" fillId="9" borderId="0" xfId="109" applyNumberFormat="1" applyFont="1" applyFill="1" applyBorder="1" applyAlignment="1" applyProtection="1">
      <alignment horizontal="left" vertical="center" wrapText="1"/>
    </xf>
    <xf numFmtId="0" fontId="77" fillId="9" borderId="0" xfId="109" applyFont="1" applyFill="1" applyBorder="1" applyAlignment="1" applyProtection="1">
      <alignment horizontal="left" vertical="center"/>
    </xf>
    <xf numFmtId="165" fontId="1" fillId="0" borderId="0" xfId="115" applyNumberFormat="1" applyFont="1" applyFill="1" applyAlignment="1" applyProtection="1">
      <alignment horizontal="left" vertical="center"/>
      <protection hidden="1"/>
    </xf>
    <xf numFmtId="0" fontId="75" fillId="0" borderId="0" xfId="0" applyFont="1" applyAlignment="1" applyProtection="1">
      <alignment horizontal="left" vertical="center"/>
      <protection locked="0"/>
    </xf>
    <xf numFmtId="0" fontId="75" fillId="0" borderId="24" xfId="109" applyFont="1" applyFill="1" applyBorder="1" applyAlignment="1" applyProtection="1">
      <alignment horizontal="left" vertical="center" wrapText="1"/>
      <protection hidden="1"/>
    </xf>
    <xf numFmtId="0" fontId="75" fillId="0" borderId="25" xfId="109" applyFont="1" applyFill="1" applyBorder="1" applyAlignment="1" applyProtection="1">
      <alignment horizontal="left" vertical="center" wrapText="1"/>
      <protection hidden="1"/>
    </xf>
    <xf numFmtId="1" fontId="75" fillId="0" borderId="24" xfId="109" applyNumberFormat="1" applyFont="1" applyFill="1" applyBorder="1" applyAlignment="1" applyProtection="1">
      <alignment horizontal="left" vertical="center" wrapText="1"/>
      <protection hidden="1"/>
    </xf>
    <xf numFmtId="0" fontId="75" fillId="0" borderId="16" xfId="0" applyFont="1" applyBorder="1" applyAlignment="1">
      <alignment horizontal="left" vertical="top" wrapText="1"/>
    </xf>
    <xf numFmtId="0" fontId="75" fillId="0" borderId="0" xfId="0" applyFont="1" applyAlignment="1">
      <alignment horizontal="left" vertical="top" wrapText="1"/>
    </xf>
    <xf numFmtId="0" fontId="75" fillId="9" borderId="0" xfId="109" applyFont="1" applyFill="1" applyBorder="1" applyAlignment="1" applyProtection="1">
      <alignment horizontal="left" vertical="center"/>
    </xf>
    <xf numFmtId="0" fontId="78" fillId="0" borderId="24" xfId="0" applyFont="1" applyBorder="1" applyAlignment="1">
      <alignment horizontal="center" vertical="center"/>
    </xf>
    <xf numFmtId="0" fontId="78" fillId="0" borderId="3" xfId="0" applyFont="1" applyBorder="1" applyAlignment="1">
      <alignment horizontal="center" vertical="center"/>
    </xf>
    <xf numFmtId="0" fontId="78"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4"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hidden="1"/>
    </xf>
    <xf numFmtId="9" fontId="7" fillId="9" borderId="26" xfId="114" applyNumberFormat="1" applyFont="1" applyFill="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hidden="1"/>
    </xf>
    <xf numFmtId="0" fontId="7" fillId="9" borderId="26" xfId="114" applyFont="1" applyFill="1" applyBorder="1" applyAlignment="1" applyProtection="1">
      <alignment horizontal="center" vertical="center" wrapText="1"/>
      <protection hidden="1"/>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6" fillId="0" borderId="24" xfId="109" applyNumberFormat="1" applyFont="1" applyFill="1" applyBorder="1" applyAlignment="1" applyProtection="1">
      <alignment horizontal="left" vertical="center" wrapText="1"/>
      <protection hidden="1"/>
    </xf>
    <xf numFmtId="0" fontId="76"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6"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6" fillId="9" borderId="9" xfId="109" applyNumberFormat="1" applyFont="1" applyFill="1" applyBorder="1" applyAlignment="1" applyProtection="1">
      <alignment horizontal="left" vertical="center"/>
      <protection locked="0"/>
    </xf>
    <xf numFmtId="49" fontId="76" fillId="0" borderId="24" xfId="109" applyNumberFormat="1" applyFont="1" applyFill="1" applyBorder="1" applyAlignment="1" applyProtection="1">
      <alignment horizontal="left" vertical="center" wrapText="1"/>
      <protection hidden="1"/>
    </xf>
    <xf numFmtId="0" fontId="72"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2"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23">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157162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9036393" y="258536"/>
          <a:ext cx="1498146" cy="1175657"/>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00925" y="19050"/>
          <a:ext cx="1571625"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36AD142-6911-45D3-87B4-AA0C09C4C36C}" protected="1">
  <header guid="{036AD142-6911-45D3-87B4-AA0C09C4C36C}" dateTime="2022-07-08T17:11:23" maxSheetId="23" userName="Chandra Kr. Kamat {चंद्र कुमार कामत}"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36AD142-6911-45D3-87B4-AA0C09C4C36C}" name="Chandra Kr. Kamat {चंद्र कुमार कामत}" id="-1487496343" dateTime="2022-07-08T17:11:2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drawing" Target="../drawings/drawing6.xml"/><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5" Type="http://schemas.openxmlformats.org/officeDocument/2006/relationships/printerSettings" Target="../printerSettings/printerSettings122.bin"/><Relationship Id="rId10" Type="http://schemas.openxmlformats.org/officeDocument/2006/relationships/printerSettings" Target="../printerSettings/printerSettings127.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drawing" Target="../drawings/drawing9.xml"/><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0.bin"/><Relationship Id="rId13" Type="http://schemas.openxmlformats.org/officeDocument/2006/relationships/printerSettings" Target="../printerSettings/printerSettings245.bin"/><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12" Type="http://schemas.openxmlformats.org/officeDocument/2006/relationships/printerSettings" Target="../printerSettings/printerSettings244.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11" Type="http://schemas.openxmlformats.org/officeDocument/2006/relationships/printerSettings" Target="../printerSettings/printerSettings243.bin"/><Relationship Id="rId5" Type="http://schemas.openxmlformats.org/officeDocument/2006/relationships/printerSettings" Target="../printerSettings/printerSettings237.bin"/><Relationship Id="rId10" Type="http://schemas.openxmlformats.org/officeDocument/2006/relationships/printerSettings" Target="../printerSettings/printerSettings242.bin"/><Relationship Id="rId4" Type="http://schemas.openxmlformats.org/officeDocument/2006/relationships/printerSettings" Target="../printerSettings/printerSettings236.bin"/><Relationship Id="rId9" Type="http://schemas.openxmlformats.org/officeDocument/2006/relationships/printerSettings" Target="../printerSettings/printerSettings241.bin"/><Relationship Id="rId1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53.bin"/><Relationship Id="rId3" Type="http://schemas.openxmlformats.org/officeDocument/2006/relationships/printerSettings" Target="../printerSettings/printerSettings248.bin"/><Relationship Id="rId7" Type="http://schemas.openxmlformats.org/officeDocument/2006/relationships/printerSettings" Target="../printerSettings/printerSettings252.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5" Type="http://schemas.openxmlformats.org/officeDocument/2006/relationships/printerSettings" Target="../printerSettings/printerSettings250.bin"/><Relationship Id="rId10" Type="http://schemas.openxmlformats.org/officeDocument/2006/relationships/printerSettings" Target="../printerSettings/printerSettings255.bin"/><Relationship Id="rId4" Type="http://schemas.openxmlformats.org/officeDocument/2006/relationships/printerSettings" Target="../printerSettings/printerSettings249.bin"/><Relationship Id="rId9" Type="http://schemas.openxmlformats.org/officeDocument/2006/relationships/printerSettings" Target="../printerSettings/printerSettings25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workbookViewId="0">
      <selection activeCell="G10" sqref="G10"/>
    </sheetView>
  </sheetViews>
  <sheetFormatPr defaultColWidth="9.140625"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55.5" customHeight="1">
      <c r="A1" s="31" t="s">
        <v>40</v>
      </c>
      <c r="B1" s="32" t="s">
        <v>542</v>
      </c>
      <c r="C1" s="33"/>
      <c r="D1" s="33"/>
      <c r="E1" s="33"/>
      <c r="F1" s="33"/>
      <c r="G1" s="33"/>
      <c r="H1" s="33"/>
    </row>
    <row r="2" spans="1:9">
      <c r="B2" s="35"/>
      <c r="I2" s="34" t="s">
        <v>264</v>
      </c>
    </row>
    <row r="3" spans="1:9">
      <c r="A3" s="34" t="s">
        <v>41</v>
      </c>
      <c r="B3" s="405" t="s">
        <v>540</v>
      </c>
      <c r="I3" s="34" t="s">
        <v>265</v>
      </c>
    </row>
    <row r="5" spans="1:9">
      <c r="A5" s="34" t="s">
        <v>42</v>
      </c>
      <c r="B5" s="446" t="s">
        <v>543</v>
      </c>
      <c r="C5" s="33"/>
      <c r="D5" s="33"/>
      <c r="E5" s="33"/>
      <c r="F5" s="33"/>
      <c r="G5" s="33"/>
      <c r="H5" s="33"/>
    </row>
    <row r="7" spans="1:9">
      <c r="B7" s="34" t="s">
        <v>501</v>
      </c>
    </row>
  </sheetData>
  <sheetProtection selectLockedCells="1" selectUnlockedCells="1"/>
  <customSheetViews>
    <customSheetView guid="{858F61A7-D995-4540-8BB4-0D5C12D88289}" hiddenColumns="1" state="hidden">
      <selection activeCell="G10" sqref="G10"/>
      <pageMargins left="0.75" right="0.75" top="1" bottom="1" header="0.5" footer="0.5"/>
      <pageSetup orientation="portrait" r:id="rId1"/>
      <headerFooter alignWithMargins="0"/>
    </customSheetView>
    <customSheetView guid="{CCA37BAE-906F-43D5-9FD9-B13563E4B9D7}" hiddenColumns="1" state="hidden">
      <selection activeCell="B13" sqref="B13"/>
      <pageMargins left="0.75" right="0.75" top="1" bottom="1" header="0.5" footer="0.5"/>
      <pageSetup orientation="portrait" r:id="rId2"/>
      <headerFooter alignWithMargins="0"/>
    </customSheetView>
    <customSheetView guid="{CA9345C4-09FE-4F27-BFD9-3D9BCD2DED09}" hiddenColumns="1" state="hidden">
      <selection activeCell="B6" sqref="B6"/>
      <pageMargins left="0.75" right="0.75" top="1" bottom="1" header="0.5" footer="0.5"/>
      <pageSetup orientation="portrait" r:id="rId3"/>
      <headerFooter alignWithMargins="0"/>
    </customSheetView>
    <customSheetView guid="{7AB1F867-F01E-4EB9-A93D-DDCFDB9AA444}" hiddenColumns="1" state="hidden">
      <selection activeCell="B1" sqref="B1"/>
      <pageMargins left="0.75" right="0.75" top="1" bottom="1" header="0.5" footer="0.5"/>
      <pageSetup orientation="portrait" r:id="rId4"/>
      <headerFooter alignWithMargins="0"/>
    </customSheetView>
    <customSheetView guid="{B96E710B-6DD7-4DE1-95AB-C9EE060CD030}" hiddenColumns="1" state="hidden">
      <selection activeCell="B9" sqref="B9:B10"/>
      <pageMargins left="0.75" right="0.75" top="1" bottom="1" header="0.5" footer="0.5"/>
      <pageSetup orientation="portrait" r:id="rId5"/>
      <headerFooter alignWithMargins="0"/>
    </customSheetView>
    <customSheetView guid="{357C9841-BEC3-434B-AC63-C04FB4321BA3}" hiddenColumns="1" state="hidden">
      <selection activeCell="B17" sqref="B17"/>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99CA2F10-F926-46DC-8609-4EAE5B9F3585}" hiddenColumns="1" state="hidden">
      <selection activeCell="E14" sqref="E14"/>
      <pageMargins left="0.75" right="0.75" top="1" bottom="1" header="0.5" footer="0.5"/>
      <pageSetup orientation="portrait" r:id="rId8"/>
      <headerFooter alignWithMargins="0"/>
    </customSheetView>
    <customSheetView guid="{497EA202-A8B8-45C5-9E6C-C3CD104F3979}" hiddenColumns="1" state="hidden">
      <selection activeCell="B13" sqref="B13"/>
      <pageMargins left="0.75" right="0.75" top="1" bottom="1" header="0.5" footer="0.5"/>
      <pageSetup orientation="portrait" r:id="rId9"/>
      <headerFooter alignWithMargins="0"/>
    </customSheetView>
    <customSheetView guid="{63D51328-7CBC-4A1E-B96D-BAE91416501B}" hiddenColumns="1" state="hidden">
      <selection activeCell="B11" sqref="B11"/>
      <pageMargins left="0.75" right="0.75" top="1" bottom="1" header="0.5" footer="0.5"/>
      <pageSetup orientation="portrait" r:id="rId10"/>
      <headerFooter alignWithMargins="0"/>
    </customSheetView>
    <customSheetView guid="{D5521983-A70D-48A3-9506-C0263CBBC57D}" hiddenColumns="1" state="hidden">
      <selection activeCell="B1" sqref="B1"/>
      <pageMargins left="0.75" right="0.75" top="1" bottom="1" header="0.5" footer="0.5"/>
      <pageSetup orientation="portrait" r:id="rId11"/>
      <headerFooter alignWithMargins="0"/>
    </customSheetView>
    <customSheetView guid="{12A89170-4F84-482D-A3C5-7890082E7B73}" hiddenColumns="1" state="hidden">
      <selection activeCell="B7" sqref="B7"/>
      <pageMargins left="0.75" right="0.75" top="1" bottom="1" header="0.5" footer="0.5"/>
      <pageSetup orientation="portrait" r:id="rId12"/>
      <headerFooter alignWithMargins="0"/>
    </customSheetView>
  </customSheetViews>
  <pageMargins left="0.75" right="0.75" top="1" bottom="1" header="0.5" footer="0.5"/>
  <pageSetup orientation="portrait"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7" customWidth="1"/>
    <col min="10" max="10" width="14.42578125" style="387" customWidth="1"/>
    <col min="11" max="11" width="17.140625" style="387" customWidth="1"/>
    <col min="12" max="13" width="11.42578125" style="387" customWidth="1"/>
    <col min="14" max="14" width="21.28515625" style="387"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Specification No.: 5002002330/CONSULTANCY GIVEN/DOM/A06-CC CS -7</v>
      </c>
      <c r="B1" s="82"/>
      <c r="C1" s="83"/>
      <c r="D1" s="83"/>
      <c r="E1" s="84" t="s">
        <v>500</v>
      </c>
    </row>
    <row r="2" spans="1:15" ht="8.1" customHeight="1">
      <c r="A2" s="87"/>
      <c r="B2" s="88"/>
      <c r="C2" s="89"/>
      <c r="D2" s="89"/>
      <c r="E2" s="90"/>
      <c r="F2" s="91"/>
    </row>
    <row r="3" spans="1:15" ht="49.5" customHeight="1">
      <c r="A3" s="881" t="str">
        <f>Cover!$B$2</f>
        <v xml:space="preserve">Substation Package SS01 for extension of 400kV Gorakhpur Substation through GIS bays for termination of 400 KV D/C New Butwal - Gorakhpur Transmission Line under Cross Border Interconnection
</v>
      </c>
      <c r="B3" s="881"/>
      <c r="C3" s="881"/>
      <c r="D3" s="881"/>
      <c r="E3" s="881"/>
    </row>
    <row r="4" spans="1:15" ht="21.95" customHeight="1">
      <c r="A4" s="882" t="s">
        <v>128</v>
      </c>
      <c r="B4" s="882"/>
      <c r="C4" s="882"/>
      <c r="D4" s="882"/>
      <c r="E4" s="882"/>
    </row>
    <row r="5" spans="1:15" ht="12" customHeight="1">
      <c r="A5" s="92"/>
      <c r="B5" s="93"/>
      <c r="C5" s="93"/>
      <c r="D5" s="93"/>
      <c r="E5" s="93"/>
    </row>
    <row r="6" spans="1:15" ht="20.25" customHeight="1">
      <c r="A6" s="835" t="s">
        <v>352</v>
      </c>
      <c r="B6" s="835"/>
      <c r="C6" s="4"/>
      <c r="D6" s="93"/>
      <c r="E6" s="93"/>
    </row>
    <row r="7" spans="1:15" ht="18" customHeight="1">
      <c r="A7" s="840">
        <f>'Sch-1'!A7</f>
        <v>0</v>
      </c>
      <c r="B7" s="840"/>
      <c r="C7" s="840"/>
      <c r="D7" s="94" t="s">
        <v>1</v>
      </c>
    </row>
    <row r="8" spans="1:15" ht="18" customHeight="1">
      <c r="A8" s="836" t="str">
        <f>"Bidder’s Name and Address  (" &amp; MID('Names of Bidder'!B9,9, 20) &amp; ") :"</f>
        <v>Bidder’s Name and Address  (Sole Bidder) :</v>
      </c>
      <c r="B8" s="836"/>
      <c r="C8" s="836"/>
      <c r="D8" s="95" t="str">
        <f>'Sch-1'!K8</f>
        <v>Contract Services</v>
      </c>
    </row>
    <row r="9" spans="1:15" ht="18" customHeight="1">
      <c r="A9" s="462" t="s">
        <v>12</v>
      </c>
      <c r="B9" s="462" t="str">
        <f>IF('Names of Bidder'!D9=0, "", 'Names of Bidder'!D9)</f>
        <v/>
      </c>
      <c r="C9" s="112"/>
      <c r="D9" s="95" t="str">
        <f>'Sch-1'!K9</f>
        <v>Power Grid Corporation of India Ltd.,</v>
      </c>
    </row>
    <row r="10" spans="1:15" ht="18" customHeight="1">
      <c r="A10" s="462" t="s">
        <v>11</v>
      </c>
      <c r="B10" s="596" t="str">
        <f>IF('Names of Bidder'!D10=0, "", 'Names of Bidder'!D10)</f>
        <v/>
      </c>
      <c r="C10" s="112"/>
      <c r="D10" s="95" t="str">
        <f>'Sch-1'!K10</f>
        <v>"Saudamini", Plot No.-2</v>
      </c>
    </row>
    <row r="11" spans="1:15" ht="18" customHeight="1">
      <c r="A11" s="409"/>
      <c r="B11" s="596" t="str">
        <f>IF('Names of Bidder'!D11=0, "", 'Names of Bidder'!D11)</f>
        <v/>
      </c>
      <c r="C11" s="112"/>
      <c r="D11" s="95" t="str">
        <f>'Sch-1'!K11</f>
        <v xml:space="preserve">Sector-29, </v>
      </c>
    </row>
    <row r="12" spans="1:15" ht="18" customHeight="1">
      <c r="A12" s="409"/>
      <c r="B12" s="596" t="str">
        <f>IF('Names of Bidder'!D12=0, "", 'Names of Bidder'!D12)</f>
        <v/>
      </c>
      <c r="C12" s="112"/>
      <c r="D12" s="95" t="str">
        <f>'Sch-1'!K12</f>
        <v>Gurgaon (Haryana) - 122001</v>
      </c>
    </row>
    <row r="13" spans="1:15" ht="8.1" customHeight="1" thickBot="1"/>
    <row r="14" spans="1:15" ht="21.95" customHeight="1">
      <c r="A14" s="662" t="s">
        <v>129</v>
      </c>
      <c r="B14" s="883" t="s">
        <v>130</v>
      </c>
      <c r="C14" s="883"/>
      <c r="D14" s="884" t="s">
        <v>131</v>
      </c>
      <c r="E14" s="885"/>
      <c r="I14" s="880"/>
      <c r="J14" s="880"/>
      <c r="K14" s="880"/>
      <c r="M14" s="873"/>
      <c r="N14" s="873"/>
      <c r="O14" s="873"/>
    </row>
    <row r="15" spans="1:15" ht="24.75" customHeight="1">
      <c r="A15" s="663" t="s">
        <v>134</v>
      </c>
      <c r="B15" s="874" t="s">
        <v>327</v>
      </c>
      <c r="C15" s="874"/>
      <c r="D15" s="892">
        <f>'Sch-1'!S126</f>
        <v>0</v>
      </c>
      <c r="E15" s="893"/>
      <c r="I15" s="388"/>
      <c r="K15" s="388"/>
      <c r="M15" s="388"/>
      <c r="O15" s="97"/>
    </row>
    <row r="16" spans="1:15" ht="81" customHeight="1">
      <c r="A16" s="664"/>
      <c r="B16" s="877" t="s">
        <v>328</v>
      </c>
      <c r="C16" s="877"/>
      <c r="D16" s="894"/>
      <c r="E16" s="895"/>
      <c r="G16" s="98"/>
    </row>
    <row r="17" spans="1:15" ht="24.75" customHeight="1">
      <c r="A17" s="663" t="s">
        <v>136</v>
      </c>
      <c r="B17" s="874" t="s">
        <v>329</v>
      </c>
      <c r="C17" s="874"/>
      <c r="D17" s="875">
        <f>'Sch-3'!U104</f>
        <v>0</v>
      </c>
      <c r="E17" s="876"/>
      <c r="I17" s="388"/>
      <c r="K17" s="389"/>
      <c r="M17" s="388"/>
      <c r="O17" s="100"/>
    </row>
    <row r="18" spans="1:15" ht="81.75" customHeight="1">
      <c r="A18" s="664"/>
      <c r="B18" s="877" t="s">
        <v>330</v>
      </c>
      <c r="C18" s="877"/>
      <c r="D18" s="896"/>
      <c r="E18" s="897"/>
      <c r="G18" s="101"/>
      <c r="I18" s="390"/>
      <c r="M18" s="390"/>
    </row>
    <row r="19" spans="1:15" ht="33" customHeight="1" thickBot="1">
      <c r="A19" s="665"/>
      <c r="B19" s="666" t="s">
        <v>333</v>
      </c>
      <c r="C19" s="667"/>
      <c r="D19" s="888">
        <f>D15+D17</f>
        <v>0</v>
      </c>
      <c r="E19" s="889"/>
    </row>
    <row r="20" spans="1:15" ht="30" customHeight="1">
      <c r="A20" s="102"/>
      <c r="B20" s="102"/>
      <c r="C20" s="103"/>
      <c r="D20" s="102"/>
      <c r="E20" s="102"/>
    </row>
    <row r="21" spans="1:15" ht="30" customHeight="1">
      <c r="A21" s="104" t="s">
        <v>142</v>
      </c>
      <c r="B21" s="670" t="str">
        <f>'Sch-5'!B21</f>
        <v xml:space="preserve">  </v>
      </c>
      <c r="C21" s="103" t="s">
        <v>143</v>
      </c>
      <c r="D21" s="898" t="str">
        <f>'Sch-5'!D21</f>
        <v/>
      </c>
      <c r="E21" s="898"/>
      <c r="F21" s="105"/>
    </row>
    <row r="22" spans="1:15" ht="30" customHeight="1">
      <c r="A22" s="104" t="s">
        <v>144</v>
      </c>
      <c r="B22" s="671" t="str">
        <f>'Sch-5'!B22</f>
        <v/>
      </c>
      <c r="C22" s="103" t="s">
        <v>145</v>
      </c>
      <c r="D22" s="898" t="str">
        <f>'Sch-5'!D22</f>
        <v/>
      </c>
      <c r="E22" s="898"/>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6F" sheet="1" formatColumns="0" formatRows="0" selectLockedCells="1"/>
  <dataConsolidate/>
  <customSheetViews>
    <customSheetView guid="{858F61A7-D995-4540-8BB4-0D5C12D88289}" showPageBreaks="1" printArea="1" view="pageBreakPreview">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view="pageBreakPreview" topLeftCell="A7">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CA9345C4-09FE-4F27-BFD9-3D9BCD2DED09}" showPageBreaks="1" printArea="1" view="pageBreakPreview" topLeftCell="A7">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7AB1F867-F01E-4EB9-A93D-DDCFDB9AA444}" showPageBreaks="1" printArea="1" view="pageBreakPreview" topLeftCell="A7">
      <selection activeCell="B16" sqref="B16:C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497EA202-A8B8-45C5-9E6C-C3CD104F3979}" showPageBreaks="1" printArea="1" view="pageBreakPreview" topLeftCell="A13">
      <selection activeCell="G16" sqref="G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view="pageBreakPreview">
      <selection activeCell="G16" sqref="G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5521983-A70D-48A3-9506-C0263CBBC57D}" showPageBreaks="1" printArea="1" view="pageBreakPreview" topLeftCell="A7">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12A89170-4F84-482D-A3C5-7890082E7B73}" showPageBreaks="1" printArea="1" view="pageBreakPreview" topLeftCell="A7">
      <selection activeCell="B16" sqref="B16:C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ignoredErrors>
    <ignoredError sqref="D15" evalError="1"/>
  </ignoredError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7" zoomScaleNormal="100" zoomScaleSheetLayoutView="100" workbookViewId="0">
      <selection activeCell="D25" sqref="D25"/>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Specification No.: 5002002330/CONSULTANCY GIVEN/DOM/A06-CC CS -7</v>
      </c>
      <c r="B1" s="114"/>
      <c r="C1" s="115"/>
      <c r="D1" s="116" t="s">
        <v>146</v>
      </c>
    </row>
    <row r="2" spans="1:6" ht="18" customHeight="1">
      <c r="A2" s="117"/>
      <c r="B2" s="118"/>
      <c r="C2" s="119"/>
      <c r="D2" s="119"/>
    </row>
    <row r="3" spans="1:6" ht="68.25" customHeight="1">
      <c r="A3" s="881" t="str">
        <f>Cover!$B$2</f>
        <v xml:space="preserve">Substation Package SS01 for extension of 400kV Gorakhpur Substation through GIS bays for termination of 400 KV D/C New Butwal - Gorakhpur Transmission Line under Cross Border Interconnection
</v>
      </c>
      <c r="B3" s="881"/>
      <c r="C3" s="881"/>
      <c r="D3" s="881"/>
      <c r="E3" s="120"/>
      <c r="F3" s="120"/>
    </row>
    <row r="4" spans="1:6" ht="21.95" customHeight="1">
      <c r="A4" s="882" t="s">
        <v>147</v>
      </c>
      <c r="B4" s="882"/>
      <c r="C4" s="882"/>
      <c r="D4" s="882"/>
    </row>
    <row r="5" spans="1:6" ht="18" customHeight="1">
      <c r="A5" s="121"/>
    </row>
    <row r="6" spans="1:6" ht="18" customHeight="1">
      <c r="A6" s="835" t="s">
        <v>352</v>
      </c>
      <c r="B6" s="835"/>
      <c r="C6" s="4"/>
    </row>
    <row r="7" spans="1:6" ht="18" customHeight="1">
      <c r="A7" s="840">
        <f>'Sch-1'!A7</f>
        <v>0</v>
      </c>
      <c r="B7" s="840"/>
      <c r="C7" s="840"/>
      <c r="D7" s="94" t="s">
        <v>1</v>
      </c>
    </row>
    <row r="8" spans="1:6" ht="21.75" customHeight="1">
      <c r="A8" s="836" t="str">
        <f>"Bidder’s Name and Address  (" &amp; MID('Names of Bidder'!B9,9, 20) &amp; ") :"</f>
        <v>Bidder’s Name and Address  (Sole Bidder) :</v>
      </c>
      <c r="B8" s="836"/>
      <c r="C8" s="836"/>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6" t="str">
        <f>IF('Names of Bidder'!D10=0, "", 'Names of Bidder'!D10)</f>
        <v/>
      </c>
      <c r="C10" s="112"/>
      <c r="D10" s="95" t="str">
        <f>'Sch-1'!K10</f>
        <v>"Saudamini", Plot No.-2</v>
      </c>
    </row>
    <row r="11" spans="1:6" ht="18" customHeight="1">
      <c r="A11" s="409"/>
      <c r="B11" s="596" t="str">
        <f>IF('Names of Bidder'!D11=0, "", 'Names of Bidder'!D11)</f>
        <v/>
      </c>
      <c r="C11" s="112"/>
      <c r="D11" s="95" t="str">
        <f>'Sch-1'!K11</f>
        <v xml:space="preserve">Sector-29, </v>
      </c>
    </row>
    <row r="12" spans="1:6" ht="18" customHeight="1">
      <c r="A12" s="409"/>
      <c r="B12" s="596" t="str">
        <f>IF('Names of Bidder'!D12=0, "", 'Names of Bidder'!D12)</f>
        <v/>
      </c>
      <c r="C12" s="112"/>
      <c r="D12" s="95" t="str">
        <f>'Sch-1'!K12</f>
        <v>Gurgaon (Haryana) - 122001</v>
      </c>
    </row>
    <row r="13" spans="1:6" ht="18" customHeight="1" thickBot="1">
      <c r="A13" s="650"/>
      <c r="B13" s="650"/>
      <c r="C13" s="650"/>
      <c r="D13" s="123"/>
    </row>
    <row r="14" spans="1:6" ht="21.95" customHeight="1">
      <c r="A14" s="651" t="s">
        <v>129</v>
      </c>
      <c r="B14" s="899" t="s">
        <v>14</v>
      </c>
      <c r="C14" s="900"/>
      <c r="D14" s="652" t="s">
        <v>131</v>
      </c>
    </row>
    <row r="15" spans="1:6" ht="21.95" customHeight="1">
      <c r="A15" s="653" t="s">
        <v>134</v>
      </c>
      <c r="B15" s="901" t="s">
        <v>148</v>
      </c>
      <c r="C15" s="901"/>
      <c r="D15" s="654">
        <f>'Sch-1'!N126</f>
        <v>0</v>
      </c>
    </row>
    <row r="16" spans="1:6" ht="35.1" customHeight="1">
      <c r="A16" s="655"/>
      <c r="B16" s="902" t="s">
        <v>149</v>
      </c>
      <c r="C16" s="903"/>
      <c r="D16" s="656"/>
    </row>
    <row r="17" spans="1:6" ht="21.95" customHeight="1">
      <c r="A17" s="653" t="s">
        <v>136</v>
      </c>
      <c r="B17" s="901" t="s">
        <v>150</v>
      </c>
      <c r="C17" s="901"/>
      <c r="D17" s="654">
        <f>'Sch-2'!J126</f>
        <v>0</v>
      </c>
    </row>
    <row r="18" spans="1:6" ht="35.1" customHeight="1">
      <c r="A18" s="655"/>
      <c r="B18" s="902" t="s">
        <v>314</v>
      </c>
      <c r="C18" s="903"/>
      <c r="D18" s="656"/>
    </row>
    <row r="19" spans="1:6" ht="21.95" customHeight="1">
      <c r="A19" s="653" t="s">
        <v>138</v>
      </c>
      <c r="B19" s="901" t="s">
        <v>152</v>
      </c>
      <c r="C19" s="901"/>
      <c r="D19" s="654">
        <f>'Sch-3'!P104</f>
        <v>0</v>
      </c>
    </row>
    <row r="20" spans="1:6" ht="30" customHeight="1">
      <c r="A20" s="655"/>
      <c r="B20" s="902" t="s">
        <v>153</v>
      </c>
      <c r="C20" s="903"/>
      <c r="D20" s="656"/>
    </row>
    <row r="21" spans="1:6" ht="21.95" customHeight="1">
      <c r="A21" s="653" t="s">
        <v>139</v>
      </c>
      <c r="B21" s="901" t="s">
        <v>154</v>
      </c>
      <c r="C21" s="901"/>
      <c r="D21" s="657" t="s">
        <v>341</v>
      </c>
    </row>
    <row r="22" spans="1:6" ht="30" customHeight="1">
      <c r="A22" s="655"/>
      <c r="B22" s="902" t="s">
        <v>155</v>
      </c>
      <c r="C22" s="903"/>
      <c r="D22" s="656"/>
    </row>
    <row r="23" spans="1:6" ht="30" customHeight="1">
      <c r="A23" s="653">
        <v>5</v>
      </c>
      <c r="B23" s="901" t="s">
        <v>156</v>
      </c>
      <c r="C23" s="901"/>
      <c r="D23" s="654">
        <f>'Sch-5'!D19:E19</f>
        <v>0</v>
      </c>
    </row>
    <row r="24" spans="1:6" ht="23.25" customHeight="1">
      <c r="A24" s="655"/>
      <c r="B24" s="902" t="s">
        <v>157</v>
      </c>
      <c r="C24" s="903"/>
      <c r="D24" s="658"/>
    </row>
    <row r="25" spans="1:6" ht="21.95" customHeight="1">
      <c r="A25" s="653" t="s">
        <v>141</v>
      </c>
      <c r="B25" s="901" t="s">
        <v>158</v>
      </c>
      <c r="C25" s="901"/>
      <c r="D25" s="657" t="s">
        <v>341</v>
      </c>
    </row>
    <row r="26" spans="1:6" ht="35.1" customHeight="1">
      <c r="A26" s="655"/>
      <c r="B26" s="902" t="s">
        <v>159</v>
      </c>
      <c r="C26" s="903"/>
      <c r="D26" s="656"/>
    </row>
    <row r="27" spans="1:6" ht="18.75" customHeight="1">
      <c r="A27" s="904"/>
      <c r="B27" s="906" t="s">
        <v>349</v>
      </c>
      <c r="C27" s="906"/>
      <c r="D27" s="659"/>
    </row>
    <row r="28" spans="1:6" ht="18.75" customHeight="1" thickBot="1">
      <c r="A28" s="905"/>
      <c r="B28" s="907"/>
      <c r="C28" s="907"/>
      <c r="D28" s="660">
        <f>D15+D17+D19+D23</f>
        <v>0</v>
      </c>
    </row>
    <row r="29" spans="1:6" ht="18.75" customHeight="1">
      <c r="A29" s="132"/>
      <c r="B29" s="133"/>
      <c r="C29" s="133"/>
      <c r="D29" s="134"/>
    </row>
    <row r="30" spans="1:6" ht="27.95" customHeight="1">
      <c r="A30" s="132"/>
      <c r="B30" s="135"/>
      <c r="C30" s="135"/>
      <c r="D30" s="134"/>
    </row>
    <row r="31" spans="1:6" ht="27.95" customHeight="1">
      <c r="A31" s="136" t="s">
        <v>161</v>
      </c>
      <c r="B31" s="670" t="str">
        <f>'Sch-5 after discount'!B21</f>
        <v xml:space="preserve">  </v>
      </c>
      <c r="C31" s="135" t="s">
        <v>143</v>
      </c>
      <c r="D31" s="730" t="str">
        <f>'Sch-5 after discount'!D21</f>
        <v/>
      </c>
      <c r="F31" s="137"/>
    </row>
    <row r="32" spans="1:6" ht="27.95" customHeight="1">
      <c r="A32" s="136" t="s">
        <v>162</v>
      </c>
      <c r="B32" s="671" t="str">
        <f>'Sch-5 after discount'!B22</f>
        <v/>
      </c>
      <c r="C32" s="135" t="s">
        <v>145</v>
      </c>
      <c r="D32" s="730"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formatColumns="0" formatRows="0" selectLockedCells="1"/>
  <customSheetViews>
    <customSheetView guid="{858F61A7-D995-4540-8BB4-0D5C12D88289}" showPageBreaks="1" printArea="1" view="pageBreakPreview" topLeftCell="A7">
      <selection activeCell="D25" sqref="D25"/>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view="pageBreakPreview" topLeftCell="A13">
      <selection activeCell="D25" sqref="D25"/>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CA9345C4-09FE-4F27-BFD9-3D9BCD2DED09}" showPageBreaks="1" printArea="1" view="pageBreakPreview" topLeftCell="A13">
      <selection activeCell="D25" sqref="D25"/>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AB1F867-F01E-4EB9-A93D-DDCFDB9AA444}"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497EA202-A8B8-45C5-9E6C-C3CD104F3979}" showPageBreaks="1" printArea="1" view="pageBreakPreview" topLeftCell="A3">
      <selection activeCell="D19" sqref="D1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view="pageBreakPreview" topLeftCell="A10">
      <selection activeCell="D19" sqref="D19"/>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5521983-A70D-48A3-9506-C0263CBBC57D}"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12A89170-4F84-482D-A3C5-7890082E7B73}" showPageBreaks="1" printArea="1" view="pageBreakPreview" topLeftCell="A13">
      <selection activeCell="D25" sqref="D25"/>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Specification No.: 5002002330/CONSULTANCY GIVEN/DOM/A06-CC CS -7</v>
      </c>
      <c r="B1" s="114"/>
      <c r="C1" s="115"/>
      <c r="D1" s="116" t="s">
        <v>163</v>
      </c>
    </row>
    <row r="2" spans="1:6" ht="18" customHeight="1">
      <c r="A2" s="117"/>
      <c r="B2" s="118"/>
      <c r="C2" s="119"/>
      <c r="D2" s="119"/>
    </row>
    <row r="3" spans="1:6" ht="73.5" customHeight="1">
      <c r="A3" s="913" t="str">
        <f>Cover!$B$2</f>
        <v xml:space="preserve">Substation Package SS01 for extension of 400kV Gorakhpur Substation through GIS bays for termination of 400 KV D/C New Butwal - Gorakhpur Transmission Line under Cross Border Interconnection
</v>
      </c>
      <c r="B3" s="913"/>
      <c r="C3" s="913"/>
      <c r="D3" s="913"/>
      <c r="E3" s="120"/>
      <c r="F3" s="120"/>
    </row>
    <row r="4" spans="1:6" ht="21.95" customHeight="1">
      <c r="A4" s="882" t="s">
        <v>147</v>
      </c>
      <c r="B4" s="882"/>
      <c r="C4" s="882"/>
      <c r="D4" s="882"/>
    </row>
    <row r="5" spans="1:6" ht="18" customHeight="1">
      <c r="A5" s="121"/>
    </row>
    <row r="6" spans="1:6" ht="18" customHeight="1">
      <c r="A6" s="25" t="e">
        <f>'Sch-1'!#REF!</f>
        <v>#REF!</v>
      </c>
      <c r="D6" s="94" t="s">
        <v>1</v>
      </c>
    </row>
    <row r="7" spans="1:6" ht="36" customHeight="1">
      <c r="A7" s="914" t="str">
        <f>'Sch-1'!A8</f>
        <v>Bidder’s Name and Address  (Sole Bidder) :</v>
      </c>
      <c r="B7" s="914"/>
      <c r="C7" s="914"/>
      <c r="D7" s="95" t="str">
        <f>'Sch-1'!K8</f>
        <v>Contract Services</v>
      </c>
    </row>
    <row r="8" spans="1:6" ht="18" customHeight="1">
      <c r="A8" s="29" t="s">
        <v>30</v>
      </c>
      <c r="B8" s="912" t="str">
        <f>IF('Sch-1'!C9=0, "", 'Sch-1'!C9)</f>
        <v/>
      </c>
      <c r="C8" s="912"/>
      <c r="D8" s="95" t="str">
        <f>'Sch-1'!K9</f>
        <v>Power Grid Corporation of India Ltd.,</v>
      </c>
    </row>
    <row r="9" spans="1:6" ht="18" customHeight="1">
      <c r="A9" s="29" t="s">
        <v>31</v>
      </c>
      <c r="B9" s="912" t="str">
        <f>IF('Sch-1'!C10=0, "", 'Sch-1'!C10)</f>
        <v/>
      </c>
      <c r="C9" s="912"/>
      <c r="D9" s="95" t="str">
        <f>'Sch-1'!K10</f>
        <v>"Saudamini", Plot No.-2</v>
      </c>
    </row>
    <row r="10" spans="1:6" ht="18" customHeight="1">
      <c r="A10" s="30"/>
      <c r="B10" s="912" t="str">
        <f>IF('Sch-1'!C11=0, "", 'Sch-1'!C11)</f>
        <v/>
      </c>
      <c r="C10" s="912"/>
      <c r="D10" s="95" t="str">
        <f>'Sch-1'!K11</f>
        <v xml:space="preserve">Sector-29, </v>
      </c>
    </row>
    <row r="11" spans="1:6" ht="18" customHeight="1">
      <c r="A11" s="30"/>
      <c r="B11" s="912" t="str">
        <f>IF('Sch-1'!C12=0, "", 'Sch-1'!C12)</f>
        <v/>
      </c>
      <c r="C11" s="912"/>
      <c r="D11" s="95" t="str">
        <f>'Sch-1'!K12</f>
        <v>Gurgaon (Haryana) - 122001</v>
      </c>
    </row>
    <row r="12" spans="1:6" ht="18" customHeight="1">
      <c r="A12" s="122"/>
      <c r="B12" s="122"/>
      <c r="C12" s="122"/>
      <c r="D12" s="123"/>
    </row>
    <row r="13" spans="1:6" ht="21.95" customHeight="1">
      <c r="A13" s="124" t="s">
        <v>129</v>
      </c>
      <c r="B13" s="908" t="s">
        <v>14</v>
      </c>
      <c r="C13" s="909"/>
      <c r="D13" s="125" t="s">
        <v>131</v>
      </c>
    </row>
    <row r="14" spans="1:6" ht="21.95" customHeight="1">
      <c r="A14" s="96" t="s">
        <v>134</v>
      </c>
      <c r="B14" s="901" t="s">
        <v>148</v>
      </c>
      <c r="C14" s="901"/>
      <c r="D14" s="126"/>
    </row>
    <row r="15" spans="1:6" ht="35.1" customHeight="1">
      <c r="A15" s="127"/>
      <c r="B15" s="902" t="s">
        <v>149</v>
      </c>
      <c r="C15" s="903"/>
      <c r="D15" s="128"/>
    </row>
    <row r="16" spans="1:6" ht="21.95" customHeight="1">
      <c r="A16" s="96" t="s">
        <v>136</v>
      </c>
      <c r="B16" s="901" t="s">
        <v>150</v>
      </c>
      <c r="C16" s="901"/>
      <c r="D16" s="126"/>
    </row>
    <row r="17" spans="1:6" ht="35.1" customHeight="1">
      <c r="A17" s="127"/>
      <c r="B17" s="902" t="s">
        <v>151</v>
      </c>
      <c r="C17" s="903"/>
      <c r="D17" s="128"/>
    </row>
    <row r="18" spans="1:6" ht="21.95" customHeight="1">
      <c r="A18" s="96" t="s">
        <v>138</v>
      </c>
      <c r="B18" s="901" t="s">
        <v>152</v>
      </c>
      <c r="C18" s="901"/>
      <c r="D18" s="126"/>
    </row>
    <row r="19" spans="1:6" ht="30" customHeight="1">
      <c r="A19" s="127"/>
      <c r="B19" s="902" t="s">
        <v>153</v>
      </c>
      <c r="C19" s="903"/>
      <c r="D19" s="128"/>
    </row>
    <row r="20" spans="1:6" ht="21.95" customHeight="1">
      <c r="A20" s="96" t="s">
        <v>139</v>
      </c>
      <c r="B20" s="901" t="s">
        <v>154</v>
      </c>
      <c r="C20" s="901"/>
      <c r="D20" s="129"/>
    </row>
    <row r="21" spans="1:6" ht="30" customHeight="1">
      <c r="A21" s="127"/>
      <c r="B21" s="902" t="s">
        <v>155</v>
      </c>
      <c r="C21" s="903"/>
      <c r="D21" s="128"/>
    </row>
    <row r="22" spans="1:6" ht="30" customHeight="1">
      <c r="A22" s="96">
        <v>5</v>
      </c>
      <c r="B22" s="901" t="s">
        <v>156</v>
      </c>
      <c r="C22" s="901"/>
      <c r="D22" s="126"/>
    </row>
    <row r="23" spans="1:6" ht="33" customHeight="1">
      <c r="A23" s="127"/>
      <c r="B23" s="902" t="s">
        <v>157</v>
      </c>
      <c r="C23" s="903"/>
      <c r="D23" s="143"/>
    </row>
    <row r="24" spans="1:6" ht="21.95" customHeight="1">
      <c r="A24" s="96" t="s">
        <v>141</v>
      </c>
      <c r="B24" s="901" t="s">
        <v>158</v>
      </c>
      <c r="C24" s="901"/>
      <c r="D24" s="129"/>
    </row>
    <row r="25" spans="1:6" ht="35.1" customHeight="1">
      <c r="A25" s="127"/>
      <c r="B25" s="902" t="s">
        <v>159</v>
      </c>
      <c r="C25" s="903"/>
      <c r="D25" s="128"/>
    </row>
    <row r="26" spans="1:6" ht="24" customHeight="1">
      <c r="A26" s="910"/>
      <c r="B26" s="911" t="s">
        <v>160</v>
      </c>
      <c r="C26" s="911"/>
      <c r="D26" s="130"/>
    </row>
    <row r="27" spans="1:6" ht="25.5" customHeight="1">
      <c r="A27" s="910"/>
      <c r="B27" s="911"/>
      <c r="C27" s="911"/>
      <c r="D27" s="131"/>
    </row>
    <row r="28" spans="1:6" ht="18.75" customHeight="1">
      <c r="A28" s="132"/>
      <c r="B28" s="133"/>
      <c r="C28" s="133"/>
      <c r="D28" s="134"/>
    </row>
    <row r="29" spans="1:6" ht="27.95" customHeight="1">
      <c r="A29" s="132"/>
      <c r="B29" s="133"/>
      <c r="C29" s="135"/>
      <c r="D29" s="134"/>
    </row>
    <row r="30" spans="1:6" ht="27.95" customHeight="1">
      <c r="A30" s="136" t="s">
        <v>161</v>
      </c>
      <c r="B30" s="99"/>
      <c r="C30" s="135" t="s">
        <v>143</v>
      </c>
      <c r="D30" s="99"/>
      <c r="F30" s="137"/>
    </row>
    <row r="31" spans="1:6" ht="27.95" customHeight="1">
      <c r="A31" s="136" t="s">
        <v>162</v>
      </c>
      <c r="B31" s="99"/>
      <c r="C31" s="135" t="s">
        <v>145</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858F61A7-D995-4540-8BB4-0D5C12D8828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CA9345C4-09FE-4F27-BFD9-3D9BCD2DED0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AB1F867-F01E-4EB9-A93D-DDCFDB9AA44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497EA202-A8B8-45C5-9E6C-C3CD104F397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5521983-A70D-48A3-9506-C0263CBBC57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12A89170-4F84-482D-A3C5-7890082E7B7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Normal="100" zoomScaleSheetLayoutView="100" workbookViewId="0">
      <selection activeCell="M27" sqref="M27"/>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Specification No.: 5002002330/CONSULTANCY GIVEN/DOM/A06-CC CS -7</v>
      </c>
      <c r="B1" s="114"/>
      <c r="C1" s="115"/>
      <c r="D1" s="116" t="s">
        <v>499</v>
      </c>
    </row>
    <row r="2" spans="1:6" ht="18" customHeight="1">
      <c r="A2" s="117"/>
      <c r="B2" s="118"/>
      <c r="C2" s="119"/>
      <c r="D2" s="119"/>
    </row>
    <row r="3" spans="1:6" ht="66.75" customHeight="1">
      <c r="A3" s="881" t="str">
        <f>Cover!$B$2</f>
        <v xml:space="preserve">Substation Package SS01 for extension of 400kV Gorakhpur Substation through GIS bays for termination of 400 KV D/C New Butwal - Gorakhpur Transmission Line under Cross Border Interconnection
</v>
      </c>
      <c r="B3" s="881"/>
      <c r="C3" s="881"/>
      <c r="D3" s="881"/>
      <c r="E3" s="120"/>
      <c r="F3" s="120"/>
    </row>
    <row r="4" spans="1:6" ht="21.95" customHeight="1">
      <c r="A4" s="882" t="s">
        <v>147</v>
      </c>
      <c r="B4" s="882"/>
      <c r="C4" s="882"/>
      <c r="D4" s="882"/>
    </row>
    <row r="5" spans="1:6" ht="18" customHeight="1">
      <c r="A5" s="121"/>
    </row>
    <row r="6" spans="1:6" ht="18" customHeight="1">
      <c r="A6" s="835" t="s">
        <v>352</v>
      </c>
      <c r="B6" s="835"/>
      <c r="C6" s="4"/>
    </row>
    <row r="7" spans="1:6" ht="18" customHeight="1">
      <c r="A7" s="840">
        <f>'Sch-1'!A7</f>
        <v>0</v>
      </c>
      <c r="B7" s="840"/>
      <c r="C7" s="840"/>
      <c r="D7" s="94" t="s">
        <v>1</v>
      </c>
    </row>
    <row r="8" spans="1:6" ht="22.5" customHeight="1">
      <c r="A8" s="836" t="str">
        <f>"Bidder’s Name and Address  (" &amp; MID('Names of Bidder'!B9,9, 20) &amp; ") :"</f>
        <v>Bidder’s Name and Address  (Sole Bidder) :</v>
      </c>
      <c r="B8" s="836"/>
      <c r="C8" s="836"/>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6" t="str">
        <f>IF('Names of Bidder'!D10=0, "", 'Names of Bidder'!D10)</f>
        <v/>
      </c>
      <c r="C10" s="112"/>
      <c r="D10" s="95" t="str">
        <f>'Sch-1'!K10</f>
        <v>"Saudamini", Plot No.-2</v>
      </c>
    </row>
    <row r="11" spans="1:6" ht="18" customHeight="1">
      <c r="A11" s="409"/>
      <c r="B11" s="596" t="str">
        <f>IF('Names of Bidder'!D11=0, "", 'Names of Bidder'!D11)</f>
        <v/>
      </c>
      <c r="C11" s="112"/>
      <c r="D11" s="95" t="str">
        <f>'Sch-1'!K11</f>
        <v xml:space="preserve">Sector-29, </v>
      </c>
    </row>
    <row r="12" spans="1:6" ht="18" customHeight="1">
      <c r="A12" s="409"/>
      <c r="B12" s="596" t="str">
        <f>IF('Names of Bidder'!D12=0, "", 'Names of Bidder'!D12)</f>
        <v/>
      </c>
      <c r="C12" s="112"/>
      <c r="D12" s="95" t="str">
        <f>'Sch-1'!K12</f>
        <v>Gurgaon (Haryana) - 122001</v>
      </c>
    </row>
    <row r="13" spans="1:6" ht="18" customHeight="1" thickBot="1">
      <c r="A13" s="650"/>
      <c r="B13" s="650"/>
      <c r="C13" s="650"/>
      <c r="D13" s="123"/>
    </row>
    <row r="14" spans="1:6" ht="21.95" customHeight="1">
      <c r="A14" s="651" t="s">
        <v>129</v>
      </c>
      <c r="B14" s="899" t="s">
        <v>14</v>
      </c>
      <c r="C14" s="900"/>
      <c r="D14" s="652" t="s">
        <v>131</v>
      </c>
      <c r="E14" s="624" t="s">
        <v>363</v>
      </c>
      <c r="F14" s="625" t="s">
        <v>362</v>
      </c>
    </row>
    <row r="15" spans="1:6" ht="21.95" customHeight="1">
      <c r="A15" s="653" t="s">
        <v>134</v>
      </c>
      <c r="B15" s="901" t="s">
        <v>148</v>
      </c>
      <c r="C15" s="901"/>
      <c r="D15" s="654">
        <f>E15*F15</f>
        <v>0</v>
      </c>
      <c r="E15" s="626">
        <f>'Sch-6'!D15</f>
        <v>0</v>
      </c>
      <c r="F15" s="647">
        <f>IF(Discount!H36&lt;0,0,Discount!H36)</f>
        <v>0</v>
      </c>
    </row>
    <row r="16" spans="1:6" ht="35.1" customHeight="1">
      <c r="A16" s="655"/>
      <c r="B16" s="902" t="s">
        <v>149</v>
      </c>
      <c r="C16" s="903"/>
      <c r="D16" s="656"/>
      <c r="E16" s="628"/>
      <c r="F16" s="647"/>
    </row>
    <row r="17" spans="1:6" ht="21.95" customHeight="1">
      <c r="A17" s="653" t="s">
        <v>136</v>
      </c>
      <c r="B17" s="901" t="s">
        <v>150</v>
      </c>
      <c r="C17" s="901"/>
      <c r="D17" s="654">
        <f>E17*F17</f>
        <v>0</v>
      </c>
      <c r="E17" s="626">
        <f>'Sch-6'!D17</f>
        <v>0</v>
      </c>
      <c r="F17" s="647">
        <f>IF(Discount!I36&lt;0,0,Discount!I36)</f>
        <v>0</v>
      </c>
    </row>
    <row r="18" spans="1:6" ht="35.1" customHeight="1">
      <c r="A18" s="655"/>
      <c r="B18" s="902" t="s">
        <v>314</v>
      </c>
      <c r="C18" s="903"/>
      <c r="D18" s="656"/>
      <c r="E18" s="628"/>
      <c r="F18" s="647"/>
    </row>
    <row r="19" spans="1:6" ht="21.95" customHeight="1">
      <c r="A19" s="653" t="s">
        <v>138</v>
      </c>
      <c r="B19" s="901" t="s">
        <v>152</v>
      </c>
      <c r="C19" s="901"/>
      <c r="D19" s="654">
        <f>E19*F19</f>
        <v>0</v>
      </c>
      <c r="E19" s="626">
        <f>'Sch-6'!D19</f>
        <v>0</v>
      </c>
      <c r="F19" s="647">
        <f>IF(Discount!J36&lt;0,0,Discount!J36)</f>
        <v>0</v>
      </c>
    </row>
    <row r="20" spans="1:6" ht="30" customHeight="1">
      <c r="A20" s="655"/>
      <c r="B20" s="902" t="s">
        <v>153</v>
      </c>
      <c r="C20" s="903"/>
      <c r="D20" s="656"/>
      <c r="E20" s="628"/>
      <c r="F20" s="627"/>
    </row>
    <row r="21" spans="1:6" ht="21.95" customHeight="1">
      <c r="A21" s="653" t="s">
        <v>139</v>
      </c>
      <c r="B21" s="901" t="s">
        <v>154</v>
      </c>
      <c r="C21" s="901"/>
      <c r="D21" s="657" t="s">
        <v>341</v>
      </c>
      <c r="E21" s="628"/>
      <c r="F21" s="627"/>
    </row>
    <row r="22" spans="1:6" ht="30" customHeight="1">
      <c r="A22" s="655"/>
      <c r="B22" s="902" t="s">
        <v>155</v>
      </c>
      <c r="C22" s="903"/>
      <c r="D22" s="656"/>
      <c r="E22" s="628"/>
      <c r="F22" s="627"/>
    </row>
    <row r="23" spans="1:6" ht="30" customHeight="1">
      <c r="A23" s="653">
        <v>5</v>
      </c>
      <c r="B23" s="901" t="s">
        <v>156</v>
      </c>
      <c r="C23" s="901"/>
      <c r="D23" s="654">
        <f>IF('Sch-5 after discount'!D19&lt;0,0,'Sch-5 after discount'!D19)</f>
        <v>0</v>
      </c>
      <c r="E23" s="628"/>
      <c r="F23" s="627"/>
    </row>
    <row r="24" spans="1:6" ht="25.5" customHeight="1">
      <c r="A24" s="655"/>
      <c r="B24" s="902" t="s">
        <v>157</v>
      </c>
      <c r="C24" s="903"/>
      <c r="D24" s="658"/>
      <c r="E24" s="628"/>
      <c r="F24" s="627"/>
    </row>
    <row r="25" spans="1:6" ht="21.95" customHeight="1">
      <c r="A25" s="653" t="s">
        <v>141</v>
      </c>
      <c r="B25" s="901" t="s">
        <v>158</v>
      </c>
      <c r="C25" s="901"/>
      <c r="D25" s="657" t="s">
        <v>341</v>
      </c>
      <c r="E25" s="628"/>
      <c r="F25" s="627"/>
    </row>
    <row r="26" spans="1:6" ht="35.1" customHeight="1">
      <c r="A26" s="655"/>
      <c r="B26" s="902" t="s">
        <v>159</v>
      </c>
      <c r="C26" s="903"/>
      <c r="D26" s="656"/>
      <c r="E26" s="628"/>
      <c r="F26" s="627"/>
    </row>
    <row r="27" spans="1:6" ht="18.75" customHeight="1">
      <c r="A27" s="904"/>
      <c r="B27" s="906" t="s">
        <v>349</v>
      </c>
      <c r="C27" s="906"/>
      <c r="D27" s="661"/>
      <c r="E27" s="628"/>
      <c r="F27" s="627"/>
    </row>
    <row r="28" spans="1:6" ht="18.75" customHeight="1" thickBot="1">
      <c r="A28" s="905"/>
      <c r="B28" s="907"/>
      <c r="C28" s="907"/>
      <c r="D28" s="660">
        <f>SUM(D15:D26)</f>
        <v>0</v>
      </c>
      <c r="E28" s="629"/>
      <c r="F28" s="630"/>
    </row>
    <row r="29" spans="1:6" ht="18.75" customHeight="1">
      <c r="A29" s="132"/>
      <c r="B29" s="133"/>
      <c r="C29" s="133"/>
      <c r="D29" s="134"/>
    </row>
    <row r="30" spans="1:6" ht="27.95" customHeight="1">
      <c r="A30" s="132"/>
      <c r="B30" s="135"/>
      <c r="C30" s="135"/>
      <c r="D30" s="134"/>
    </row>
    <row r="31" spans="1:6" ht="27.95" customHeight="1">
      <c r="A31" s="136" t="s">
        <v>161</v>
      </c>
      <c r="B31" s="670" t="str">
        <f>'Sch-6'!B31</f>
        <v xml:space="preserve">  </v>
      </c>
      <c r="C31" s="135" t="s">
        <v>143</v>
      </c>
      <c r="D31" s="731" t="str">
        <f>'Sch-6'!D31</f>
        <v/>
      </c>
      <c r="F31" s="137"/>
    </row>
    <row r="32" spans="1:6" ht="27.95" customHeight="1">
      <c r="A32" s="136" t="s">
        <v>162</v>
      </c>
      <c r="B32" s="671" t="str">
        <f>'Sch-6'!B32</f>
        <v/>
      </c>
      <c r="C32" s="135" t="s">
        <v>145</v>
      </c>
      <c r="D32" s="731"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formatColumns="0" formatRows="0" selectLockedCells="1"/>
  <customSheetViews>
    <customSheetView guid="{858F61A7-D995-4540-8BB4-0D5C12D88289}" showPageBreaks="1" printArea="1" hiddenColumns="1" view="pageBreakPreview">
      <selection activeCell="M27" sqref="M27"/>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hiddenColumns="1" view="pageBreakPreview" topLeftCell="A7">
      <selection activeCell="M27" sqref="M27"/>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CA9345C4-09FE-4F27-BFD9-3D9BCD2DED09}" showPageBreaks="1" printArea="1" hiddenColumns="1" view="pageBreakPreview" topLeftCell="A16">
      <selection activeCell="M27" sqref="M27"/>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7AB1F867-F01E-4EB9-A93D-DDCFDB9AA444}"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497EA202-A8B8-45C5-9E6C-C3CD104F3979}"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5521983-A70D-48A3-9506-C0263CBBC57D}"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12A89170-4F84-482D-A3C5-7890082E7B73}" showPageBreaks="1" printArea="1" hiddenColumns="1" view="pageBreakPreview" topLeftCell="A16">
      <selection activeCell="I29" sqref="I29"/>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Normal="100" zoomScaleSheetLayoutView="100" workbookViewId="0">
      <selection activeCell="A16" sqref="A16"/>
    </sheetView>
  </sheetViews>
  <sheetFormatPr defaultColWidth="8.7109375" defaultRowHeight="16.5"/>
  <cols>
    <col min="1" max="1" width="6.5703125" style="299" customWidth="1"/>
    <col min="2" max="2" width="11.42578125" style="299" customWidth="1"/>
    <col min="3" max="3" width="15" style="299" customWidth="1"/>
    <col min="4" max="4" width="10.28515625" style="299" customWidth="1"/>
    <col min="5" max="8" width="15.140625" style="299" customWidth="1"/>
    <col min="9" max="9" width="22.85546875" style="404" customWidth="1"/>
    <col min="10" max="10" width="8.7109375" style="269" customWidth="1"/>
    <col min="11" max="11" width="10.28515625" style="269" customWidth="1"/>
    <col min="12" max="12" width="13.5703125" style="269" customWidth="1"/>
    <col min="13" max="13" width="14.28515625" style="269" customWidth="1"/>
    <col min="14" max="26" width="9.140625" style="304" customWidth="1"/>
    <col min="27" max="27" width="0" style="304" hidden="1" customWidth="1"/>
    <col min="28" max="28" width="15.85546875" style="304" hidden="1" customWidth="1"/>
    <col min="29" max="29" width="15.5703125" style="304" hidden="1" customWidth="1"/>
    <col min="30" max="30" width="24.42578125" style="304" hidden="1" customWidth="1"/>
    <col min="31" max="31" width="13.7109375" style="304" hidden="1" customWidth="1"/>
    <col min="32" max="33" width="0" style="304" hidden="1" customWidth="1"/>
    <col min="34" max="100" width="9.140625" style="304" customWidth="1"/>
    <col min="101" max="253" width="9.140625" style="266" customWidth="1"/>
    <col min="254" max="254" width="13" style="266" customWidth="1"/>
    <col min="255" max="255" width="35.85546875" style="266" customWidth="1"/>
    <col min="256" max="16384" width="8.7109375" style="266"/>
  </cols>
  <sheetData>
    <row r="1" spans="1:100" s="304" customFormat="1" ht="18" customHeight="1">
      <c r="A1" s="300" t="str">
        <f>Cover!B3</f>
        <v>Specification No.: 5002002330/CONSULTANCY GIVEN/DOM/A06-CC CS -7</v>
      </c>
      <c r="B1" s="300"/>
      <c r="C1" s="300"/>
      <c r="D1" s="300"/>
      <c r="E1" s="300"/>
      <c r="F1" s="300"/>
      <c r="G1" s="300"/>
      <c r="H1" s="300"/>
      <c r="I1" s="395"/>
      <c r="J1" s="301"/>
      <c r="K1" s="301"/>
      <c r="L1" s="301"/>
      <c r="M1" s="302" t="s">
        <v>29</v>
      </c>
    </row>
    <row r="2" spans="1:100" s="304" customFormat="1" ht="12.75" customHeight="1">
      <c r="A2" s="305"/>
      <c r="B2" s="305"/>
      <c r="C2" s="305"/>
      <c r="D2" s="305"/>
      <c r="E2" s="305"/>
      <c r="F2" s="305"/>
      <c r="G2" s="305"/>
      <c r="H2" s="305"/>
      <c r="I2" s="396"/>
      <c r="J2" s="306"/>
      <c r="K2" s="306"/>
      <c r="L2" s="306"/>
      <c r="M2" s="306"/>
    </row>
    <row r="3" spans="1:100" s="304" customFormat="1" ht="51" customHeight="1">
      <c r="A3" s="931" t="str">
        <f>Cover!$B$2</f>
        <v xml:space="preserve">Substation Package SS01 for extension of 400kV Gorakhpur Substation through GIS bays for termination of 400 KV D/C New Butwal - Gorakhpur Transmission Line under Cross Border Interconnection
</v>
      </c>
      <c r="B3" s="931"/>
      <c r="C3" s="931"/>
      <c r="D3" s="931"/>
      <c r="E3" s="931"/>
      <c r="F3" s="931"/>
      <c r="G3" s="931"/>
      <c r="H3" s="931"/>
      <c r="I3" s="931"/>
      <c r="J3" s="931"/>
      <c r="K3" s="931"/>
      <c r="L3" s="931"/>
      <c r="M3" s="931"/>
      <c r="AA3" s="304" t="s">
        <v>17</v>
      </c>
      <c r="AC3" s="304">
        <f>IF(ISERROR(#REF!/('[6]Sch-6'!D14+'[6]Sch-6'!D16+'[6]Sch-6'!D18)),0,#REF!/( '[6]Sch-6'!D14+'[6]Sch-6'!D16+'[6]Sch-6'!D18))</f>
        <v>0</v>
      </c>
    </row>
    <row r="4" spans="1:100" s="304" customFormat="1" ht="21.95" customHeight="1">
      <c r="A4" s="932" t="s">
        <v>18</v>
      </c>
      <c r="B4" s="932"/>
      <c r="C4" s="932"/>
      <c r="D4" s="932"/>
      <c r="E4" s="932"/>
      <c r="F4" s="932"/>
      <c r="G4" s="932"/>
      <c r="H4" s="932"/>
      <c r="I4" s="932"/>
      <c r="J4" s="932"/>
      <c r="K4" s="932"/>
      <c r="L4" s="932"/>
      <c r="M4" s="932"/>
      <c r="AA4" s="304" t="s">
        <v>19</v>
      </c>
      <c r="AC4" s="304" t="e">
        <f>#REF!</f>
        <v>#REF!</v>
      </c>
    </row>
    <row r="5" spans="1:100" s="304" customFormat="1" ht="27.95" customHeight="1">
      <c r="A5" s="309"/>
      <c r="B5" s="309"/>
      <c r="C5" s="309"/>
      <c r="D5" s="309"/>
      <c r="E5" s="466"/>
      <c r="F5" s="466"/>
      <c r="G5" s="466"/>
      <c r="H5" s="466"/>
      <c r="I5" s="397"/>
      <c r="K5" s="308"/>
      <c r="L5" s="307"/>
      <c r="M5" s="466"/>
    </row>
    <row r="6" spans="1:100" s="304" customFormat="1" ht="27.95" customHeight="1">
      <c r="A6" s="599"/>
      <c r="B6" s="835" t="s">
        <v>352</v>
      </c>
      <c r="C6" s="835"/>
      <c r="D6" s="4"/>
      <c r="E6" s="466"/>
      <c r="F6" s="466"/>
      <c r="G6" s="466"/>
      <c r="H6" s="466"/>
      <c r="I6" s="397"/>
      <c r="K6" s="308"/>
      <c r="L6" s="307"/>
      <c r="M6" s="466"/>
    </row>
    <row r="7" spans="1:100" s="304" customFormat="1" ht="27.95" customHeight="1">
      <c r="A7" s="595"/>
      <c r="B7" s="840">
        <f>'Sch-1'!A7</f>
        <v>0</v>
      </c>
      <c r="C7" s="840"/>
      <c r="D7" s="840"/>
      <c r="E7" s="840"/>
      <c r="F7" s="840"/>
      <c r="G7" s="840"/>
      <c r="H7" s="840"/>
      <c r="I7" s="397"/>
      <c r="K7" s="308"/>
      <c r="L7" s="307"/>
      <c r="M7" s="466"/>
    </row>
    <row r="8" spans="1:100" s="524" customFormat="1" ht="16.5" customHeight="1">
      <c r="A8" s="598"/>
      <c r="B8" s="836" t="str">
        <f>'Sch-1'!A8</f>
        <v>Bidder’s Name and Address  (Sole Bidder) :</v>
      </c>
      <c r="C8" s="836"/>
      <c r="D8" s="836"/>
      <c r="E8" s="836"/>
      <c r="F8" s="836"/>
      <c r="G8" s="836"/>
      <c r="H8" s="836"/>
      <c r="I8" s="26"/>
      <c r="J8" s="26"/>
      <c r="K8" s="94" t="s">
        <v>1</v>
      </c>
      <c r="L8" s="2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row>
    <row r="9" spans="1:100" s="524" customFormat="1">
      <c r="A9" s="462"/>
      <c r="B9" s="462" t="s">
        <v>12</v>
      </c>
      <c r="C9" s="839" t="str">
        <f>'Sch-1'!C9</f>
        <v/>
      </c>
      <c r="D9" s="839"/>
      <c r="E9" s="839"/>
      <c r="F9" s="839"/>
      <c r="G9" s="262"/>
      <c r="H9" s="262"/>
      <c r="I9" s="262"/>
      <c r="J9" s="262"/>
      <c r="K9" s="95" t="s">
        <v>2</v>
      </c>
      <c r="L9" s="2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row>
    <row r="10" spans="1:100" s="524" customFormat="1">
      <c r="A10" s="462"/>
      <c r="B10" s="462" t="s">
        <v>11</v>
      </c>
      <c r="C10" s="838" t="str">
        <f>'Sch-1'!C10</f>
        <v/>
      </c>
      <c r="D10" s="838"/>
      <c r="E10" s="838"/>
      <c r="F10" s="838"/>
      <c r="G10" s="262"/>
      <c r="H10" s="262"/>
      <c r="I10" s="262"/>
      <c r="J10" s="262"/>
      <c r="K10" s="95" t="s">
        <v>3</v>
      </c>
      <c r="L10" s="2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row>
    <row r="11" spans="1:100" s="524" customFormat="1">
      <c r="A11" s="409"/>
      <c r="B11" s="409"/>
      <c r="C11" s="838" t="str">
        <f>'Sch-1'!C11</f>
        <v/>
      </c>
      <c r="D11" s="838"/>
      <c r="E11" s="838"/>
      <c r="F11" s="838"/>
      <c r="G11" s="262"/>
      <c r="H11" s="262"/>
      <c r="I11" s="262"/>
      <c r="J11" s="262"/>
      <c r="K11" s="95" t="s">
        <v>4</v>
      </c>
      <c r="L11" s="2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row>
    <row r="12" spans="1:100" s="524" customFormat="1">
      <c r="A12" s="409"/>
      <c r="B12" s="409"/>
      <c r="C12" s="838" t="str">
        <f>'Sch-1'!C12</f>
        <v/>
      </c>
      <c r="D12" s="838"/>
      <c r="E12" s="838"/>
      <c r="F12" s="838"/>
      <c r="G12" s="262"/>
      <c r="H12" s="262"/>
      <c r="I12" s="262"/>
      <c r="J12" s="262"/>
      <c r="K12" s="95" t="s">
        <v>5</v>
      </c>
      <c r="L12" s="2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row>
    <row r="13" spans="1:100" s="304" customFormat="1" ht="21" customHeight="1">
      <c r="A13" s="309"/>
      <c r="B13" s="309"/>
      <c r="C13" s="309"/>
      <c r="D13" s="309"/>
      <c r="E13" s="309"/>
      <c r="F13" s="309"/>
      <c r="G13" s="309"/>
      <c r="H13" s="309"/>
      <c r="I13" s="398"/>
      <c r="J13" s="466"/>
      <c r="K13" s="95" t="s">
        <v>6</v>
      </c>
      <c r="L13" s="303"/>
      <c r="M13" s="303"/>
    </row>
    <row r="14" spans="1:100" s="304" customFormat="1" ht="27.95" customHeight="1">
      <c r="A14" s="922" t="s">
        <v>32</v>
      </c>
      <c r="B14" s="922"/>
      <c r="C14" s="922"/>
      <c r="D14" s="922"/>
      <c r="E14" s="922"/>
      <c r="F14" s="922"/>
      <c r="G14" s="922"/>
      <c r="H14" s="922"/>
      <c r="I14" s="922"/>
      <c r="J14" s="922"/>
      <c r="K14" s="922"/>
      <c r="L14" s="922"/>
      <c r="M14" s="922"/>
    </row>
    <row r="15" spans="1:100" s="304" customFormat="1" ht="115.5" customHeight="1">
      <c r="A15" s="521" t="s">
        <v>33</v>
      </c>
      <c r="B15" s="391" t="s">
        <v>266</v>
      </c>
      <c r="C15" s="391" t="s">
        <v>267</v>
      </c>
      <c r="D15" s="521" t="s">
        <v>39</v>
      </c>
      <c r="E15" s="525" t="s">
        <v>331</v>
      </c>
      <c r="F15" s="526" t="s">
        <v>332</v>
      </c>
      <c r="G15" s="526" t="s">
        <v>312</v>
      </c>
      <c r="H15" s="526" t="s">
        <v>320</v>
      </c>
      <c r="I15" s="522" t="s">
        <v>34</v>
      </c>
      <c r="J15" s="522" t="s">
        <v>9</v>
      </c>
      <c r="K15" s="522" t="s">
        <v>15</v>
      </c>
      <c r="L15" s="522" t="s">
        <v>35</v>
      </c>
      <c r="M15" s="523" t="s">
        <v>36</v>
      </c>
      <c r="AB15" s="304" t="s">
        <v>37</v>
      </c>
      <c r="AD15" s="304" t="s">
        <v>21</v>
      </c>
      <c r="AE15" s="304" t="s">
        <v>38</v>
      </c>
    </row>
    <row r="16" spans="1:100">
      <c r="A16" s="528"/>
      <c r="B16" s="528"/>
      <c r="C16" s="528"/>
      <c r="D16" s="528"/>
      <c r="E16" s="528"/>
      <c r="F16" s="528"/>
      <c r="G16" s="528"/>
      <c r="H16" s="528"/>
      <c r="I16" s="529"/>
      <c r="J16" s="530"/>
      <c r="K16" s="530"/>
      <c r="L16" s="530"/>
      <c r="M16" s="530"/>
    </row>
    <row r="17" spans="1:100" s="417" customFormat="1" ht="23.25" customHeight="1">
      <c r="A17" s="468"/>
      <c r="B17" s="468"/>
      <c r="C17" s="468"/>
      <c r="D17" s="468"/>
      <c r="F17" s="468"/>
      <c r="G17" s="531" t="s">
        <v>340</v>
      </c>
      <c r="H17" s="468"/>
      <c r="I17" s="468"/>
      <c r="J17" s="468"/>
      <c r="K17" s="468"/>
      <c r="L17" s="468"/>
      <c r="M17" s="468"/>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ht="22.5" customHeight="1">
      <c r="A18" s="923"/>
      <c r="B18" s="923"/>
      <c r="C18" s="923"/>
      <c r="D18" s="923"/>
      <c r="E18" s="923"/>
      <c r="F18" s="923"/>
      <c r="G18" s="923"/>
      <c r="H18" s="923"/>
      <c r="I18" s="923"/>
      <c r="J18" s="532"/>
      <c r="K18" s="532"/>
      <c r="L18" s="532"/>
      <c r="M18" s="532"/>
    </row>
    <row r="19" spans="1:100" ht="26.25" customHeight="1">
      <c r="B19" s="373"/>
      <c r="C19" s="374"/>
      <c r="D19" s="374"/>
      <c r="E19" s="374"/>
      <c r="F19" s="374"/>
      <c r="G19" s="374"/>
      <c r="H19" s="374"/>
      <c r="I19" s="374"/>
      <c r="J19" s="374"/>
      <c r="K19" s="374"/>
      <c r="L19" s="375"/>
      <c r="M19" s="527"/>
    </row>
    <row r="20" spans="1:100">
      <c r="B20" s="374"/>
      <c r="C20" s="374"/>
      <c r="D20" s="374"/>
      <c r="E20" s="374"/>
      <c r="F20" s="374"/>
      <c r="G20" s="374"/>
      <c r="H20" s="374"/>
      <c r="I20" s="374"/>
      <c r="J20" s="374"/>
      <c r="K20" s="374"/>
      <c r="L20" s="376"/>
      <c r="M20" s="527"/>
    </row>
    <row r="21" spans="1:100" s="478" customFormat="1">
      <c r="B21" s="478" t="s">
        <v>317</v>
      </c>
      <c r="C21" s="924" t="str">
        <f>'Sch-6 (After Discount)'!B31</f>
        <v xml:space="preserve">  </v>
      </c>
      <c r="D21" s="925"/>
      <c r="H21" s="928" t="s">
        <v>319</v>
      </c>
      <c r="I21" s="928"/>
      <c r="J21" s="933" t="str">
        <f>'Sch-6 (After Discount)'!D31</f>
        <v/>
      </c>
      <c r="K21" s="933"/>
      <c r="L21" s="933"/>
      <c r="M21" s="933"/>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row>
    <row r="22" spans="1:100" s="478" customFormat="1" ht="16.5" customHeight="1">
      <c r="B22" s="478" t="s">
        <v>318</v>
      </c>
      <c r="C22" s="934" t="str">
        <f>'Sch-6'!B32</f>
        <v/>
      </c>
      <c r="D22" s="925"/>
      <c r="H22" s="928" t="s">
        <v>124</v>
      </c>
      <c r="I22" s="928"/>
      <c r="J22" s="933" t="str">
        <f>'Sch-6 (After Discount)'!D32</f>
        <v/>
      </c>
      <c r="K22" s="933"/>
      <c r="L22" s="933"/>
      <c r="M22" s="93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row>
    <row r="23" spans="1:100">
      <c r="B23" s="926"/>
      <c r="C23" s="926"/>
      <c r="D23" s="926"/>
      <c r="E23" s="926"/>
      <c r="F23" s="926"/>
      <c r="G23" s="926"/>
      <c r="H23" s="926"/>
      <c r="I23" s="926"/>
      <c r="J23" s="926"/>
      <c r="K23" s="926"/>
      <c r="L23" s="926"/>
      <c r="M23" s="527"/>
    </row>
    <row r="24" spans="1:100">
      <c r="B24" s="377"/>
      <c r="C24" s="377"/>
      <c r="D24" s="927"/>
      <c r="E24" s="927"/>
      <c r="F24" s="927"/>
      <c r="G24" s="927"/>
      <c r="H24" s="927"/>
      <c r="I24" s="927"/>
      <c r="J24" s="927"/>
      <c r="K24" s="927"/>
      <c r="L24" s="927"/>
      <c r="M24" s="527"/>
    </row>
    <row r="25" spans="1:100">
      <c r="B25" s="378"/>
      <c r="C25" s="379"/>
      <c r="D25" s="927"/>
      <c r="E25" s="927"/>
      <c r="F25" s="927"/>
      <c r="G25" s="927"/>
      <c r="H25" s="927"/>
      <c r="I25" s="927"/>
      <c r="J25" s="927"/>
      <c r="K25" s="927"/>
      <c r="L25" s="927"/>
      <c r="M25" s="527"/>
    </row>
    <row r="26" spans="1:100">
      <c r="B26" s="378"/>
      <c r="C26" s="380"/>
      <c r="D26" s="927"/>
      <c r="E26" s="927"/>
      <c r="F26" s="927"/>
      <c r="G26" s="927"/>
      <c r="H26" s="927"/>
      <c r="I26" s="927"/>
      <c r="J26" s="927"/>
      <c r="K26" s="927"/>
      <c r="L26" s="927"/>
      <c r="M26" s="527"/>
    </row>
    <row r="27" spans="1:100">
      <c r="B27" s="23"/>
      <c r="C27" s="22"/>
      <c r="D27" s="927"/>
      <c r="E27" s="927"/>
      <c r="F27" s="927"/>
      <c r="G27" s="927"/>
      <c r="H27" s="927"/>
      <c r="I27" s="927"/>
      <c r="J27" s="927"/>
      <c r="K27" s="927"/>
      <c r="L27" s="927"/>
      <c r="M27" s="527"/>
    </row>
    <row r="28" spans="1:100">
      <c r="B28" s="23"/>
      <c r="C28" s="22"/>
      <c r="D28" s="381"/>
      <c r="E28" s="381"/>
      <c r="F28" s="381"/>
      <c r="G28" s="381"/>
      <c r="H28" s="381"/>
      <c r="I28" s="381"/>
      <c r="J28" s="381"/>
      <c r="K28" s="381"/>
      <c r="L28" s="381"/>
      <c r="M28" s="527"/>
    </row>
    <row r="29" spans="1:100">
      <c r="B29" s="382"/>
      <c r="C29" s="929"/>
      <c r="D29" s="929"/>
      <c r="E29" s="929"/>
      <c r="F29" s="929"/>
      <c r="G29" s="929"/>
      <c r="H29" s="929"/>
      <c r="I29" s="929"/>
      <c r="J29" s="929"/>
      <c r="K29" s="929"/>
      <c r="L29" s="383"/>
      <c r="M29" s="527"/>
    </row>
    <row r="59" spans="1:100" s="265" customFormat="1">
      <c r="A59" s="270"/>
      <c r="B59" s="270"/>
      <c r="C59" s="270"/>
      <c r="D59" s="270"/>
      <c r="E59" s="270"/>
      <c r="F59" s="270"/>
      <c r="G59" s="270"/>
      <c r="H59" s="270"/>
      <c r="I59" s="399"/>
      <c r="J59" s="271"/>
      <c r="K59" s="271"/>
      <c r="L59" s="271"/>
      <c r="M59" s="271"/>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row>
    <row r="60" spans="1:100" s="265" customFormat="1">
      <c r="A60" s="270"/>
      <c r="B60" s="270"/>
      <c r="C60" s="270"/>
      <c r="D60" s="270"/>
      <c r="E60" s="270"/>
      <c r="F60" s="270"/>
      <c r="G60" s="270"/>
      <c r="H60" s="270"/>
      <c r="I60" s="399"/>
      <c r="J60" s="271"/>
      <c r="K60" s="271"/>
      <c r="L60" s="271"/>
      <c r="M60" s="271"/>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265" customFormat="1">
      <c r="A61" s="270"/>
      <c r="B61" s="270"/>
      <c r="C61" s="270"/>
      <c r="D61" s="270"/>
      <c r="E61" s="270"/>
      <c r="F61" s="270"/>
      <c r="G61" s="270"/>
      <c r="H61" s="270"/>
      <c r="I61" s="399"/>
      <c r="J61" s="271"/>
      <c r="K61" s="271"/>
      <c r="L61" s="271"/>
      <c r="M61" s="271"/>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274" customFormat="1" ht="16.5" hidden="1" customHeight="1">
      <c r="A62" s="272" t="str">
        <f>A1</f>
        <v>Specification No.: 5002002330/CONSULTANCY GIVEN/DOM/A06-CC CS -7</v>
      </c>
      <c r="B62" s="272"/>
      <c r="C62" s="272"/>
      <c r="D62" s="272"/>
      <c r="E62" s="272"/>
      <c r="F62" s="272"/>
      <c r="G62" s="272"/>
      <c r="H62" s="272"/>
      <c r="I62" s="400"/>
      <c r="J62" s="273"/>
      <c r="K62" s="273"/>
      <c r="L62" s="273"/>
      <c r="M62" s="273"/>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274" customFormat="1" ht="16.5" hidden="1" customHeight="1">
      <c r="A63" s="267"/>
      <c r="B63" s="267"/>
      <c r="C63" s="267"/>
      <c r="D63" s="267"/>
      <c r="E63" s="267"/>
      <c r="F63" s="267"/>
      <c r="G63" s="267"/>
      <c r="H63" s="267"/>
      <c r="I63" s="401"/>
      <c r="J63" s="268"/>
      <c r="K63" s="268"/>
      <c r="L63" s="268"/>
      <c r="M63" s="268"/>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274" customFormat="1" ht="35.25" hidden="1" customHeight="1">
      <c r="A64" s="930" t="str">
        <f>A3</f>
        <v xml:space="preserve">Substation Package SS01 for extension of 400kV Gorakhpur Substation through GIS bays for termination of 400 KV D/C New Butwal - Gorakhpur Transmission Line under Cross Border Interconnection
</v>
      </c>
      <c r="B64" s="930"/>
      <c r="C64" s="930"/>
      <c r="D64" s="930"/>
      <c r="E64" s="930"/>
      <c r="F64" s="930"/>
      <c r="G64" s="930"/>
      <c r="H64" s="930"/>
      <c r="I64" s="930">
        <f>I3</f>
        <v>0</v>
      </c>
      <c r="J64" s="930">
        <f>J3</f>
        <v>0</v>
      </c>
      <c r="K64" s="930"/>
      <c r="L64" s="930"/>
      <c r="M64" s="930"/>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274" customFormat="1" ht="16.5" hidden="1" customHeight="1">
      <c r="A65" s="921" t="str">
        <f>A4</f>
        <v>(SCHEDULE OF RATES AND PRICES )</v>
      </c>
      <c r="B65" s="921"/>
      <c r="C65" s="921"/>
      <c r="D65" s="921"/>
      <c r="E65" s="921"/>
      <c r="F65" s="921"/>
      <c r="G65" s="921"/>
      <c r="H65" s="921"/>
      <c r="I65" s="921">
        <f>I4</f>
        <v>0</v>
      </c>
      <c r="J65" s="921">
        <f>J4</f>
        <v>0</v>
      </c>
      <c r="K65" s="921"/>
      <c r="L65" s="921"/>
      <c r="M65" s="921"/>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row>
    <row r="66" spans="1:100" s="274" customFormat="1" ht="16.5" hidden="1" customHeight="1">
      <c r="A66" s="275"/>
      <c r="B66" s="275"/>
      <c r="C66" s="275"/>
      <c r="D66" s="275"/>
      <c r="E66" s="275"/>
      <c r="F66" s="275"/>
      <c r="G66" s="275"/>
      <c r="H66" s="275"/>
      <c r="I66" s="465"/>
      <c r="J66" s="467"/>
      <c r="K66" s="467"/>
      <c r="L66" s="467"/>
      <c r="M66" s="467"/>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row>
    <row r="67" spans="1:100" s="274" customFormat="1" ht="16.5" hidden="1" customHeight="1">
      <c r="A67" s="276" t="e">
        <f>#REF!</f>
        <v>#REF!</v>
      </c>
      <c r="B67" s="276"/>
      <c r="C67" s="276"/>
      <c r="D67" s="276"/>
      <c r="E67" s="276"/>
      <c r="F67" s="276"/>
      <c r="G67" s="276"/>
      <c r="H67" s="276"/>
      <c r="I67" s="402"/>
      <c r="J67" s="277"/>
      <c r="K67" s="277"/>
      <c r="L67" s="277"/>
      <c r="M67" s="277"/>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row>
    <row r="68" spans="1:100" s="274" customFormat="1" ht="16.5" hidden="1" customHeight="1">
      <c r="A68" s="918" t="e">
        <f>#REF!</f>
        <v>#REF!</v>
      </c>
      <c r="B68" s="918"/>
      <c r="C68" s="918"/>
      <c r="D68" s="918"/>
      <c r="E68" s="918"/>
      <c r="F68" s="918"/>
      <c r="G68" s="918"/>
      <c r="H68" s="918"/>
      <c r="I68" s="918" t="e">
        <f>#REF!</f>
        <v>#REF!</v>
      </c>
      <c r="J68" s="918" t="e">
        <f>#REF!</f>
        <v>#REF!</v>
      </c>
      <c r="K68" s="463"/>
      <c r="L68" s="463"/>
      <c r="M68" s="463"/>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row>
    <row r="69" spans="1:100" s="274" customFormat="1" ht="16.5" hidden="1" customHeight="1">
      <c r="A69" s="278" t="e">
        <f>#REF!</f>
        <v>#REF!</v>
      </c>
      <c r="B69" s="278"/>
      <c r="C69" s="278"/>
      <c r="D69" s="278"/>
      <c r="E69" s="278"/>
      <c r="F69" s="278"/>
      <c r="G69" s="278"/>
      <c r="H69" s="278"/>
      <c r="I69" s="917" t="e">
        <f>#REF!</f>
        <v>#REF!</v>
      </c>
      <c r="J69" s="917" t="e">
        <f>#REF!</f>
        <v>#REF!</v>
      </c>
      <c r="K69" s="464"/>
      <c r="L69" s="464"/>
      <c r="M69" s="46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row>
    <row r="70" spans="1:100" s="274" customFormat="1" ht="16.5" hidden="1" customHeight="1">
      <c r="A70" s="278" t="e">
        <f>#REF!</f>
        <v>#REF!</v>
      </c>
      <c r="B70" s="278"/>
      <c r="C70" s="278"/>
      <c r="D70" s="278"/>
      <c r="E70" s="278"/>
      <c r="F70" s="278"/>
      <c r="G70" s="278"/>
      <c r="H70" s="278"/>
      <c r="I70" s="917" t="e">
        <f>#REF!</f>
        <v>#REF!</v>
      </c>
      <c r="J70" s="917" t="e">
        <f>#REF!</f>
        <v>#REF!</v>
      </c>
      <c r="K70" s="464"/>
      <c r="L70" s="464"/>
      <c r="M70" s="46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row>
    <row r="71" spans="1:100" s="274" customFormat="1" ht="16.5" hidden="1" customHeight="1">
      <c r="A71" s="279"/>
      <c r="B71" s="279"/>
      <c r="C71" s="279"/>
      <c r="D71" s="279"/>
      <c r="E71" s="279"/>
      <c r="F71" s="279"/>
      <c r="G71" s="279"/>
      <c r="H71" s="279"/>
      <c r="I71" s="917" t="e">
        <f>#REF!</f>
        <v>#REF!</v>
      </c>
      <c r="J71" s="917" t="e">
        <f>#REF!</f>
        <v>#REF!</v>
      </c>
      <c r="K71" s="464"/>
      <c r="L71" s="464"/>
      <c r="M71" s="46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row>
    <row r="72" spans="1:100" s="274" customFormat="1" ht="16.5" hidden="1" customHeight="1">
      <c r="A72" s="279"/>
      <c r="B72" s="279"/>
      <c r="C72" s="279"/>
      <c r="D72" s="279"/>
      <c r="E72" s="279"/>
      <c r="F72" s="279"/>
      <c r="G72" s="279"/>
      <c r="H72" s="279"/>
      <c r="I72" s="917">
        <f>C5</f>
        <v>0</v>
      </c>
      <c r="J72" s="917">
        <f>D5</f>
        <v>0</v>
      </c>
      <c r="K72" s="464"/>
      <c r="L72" s="464"/>
      <c r="M72" s="46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row>
    <row r="73" spans="1:100" s="274" customFormat="1" ht="16.5" hidden="1" customHeight="1">
      <c r="A73" s="280"/>
      <c r="B73" s="280"/>
      <c r="C73" s="280"/>
      <c r="D73" s="280"/>
      <c r="E73" s="280"/>
      <c r="F73" s="280"/>
      <c r="G73" s="280"/>
      <c r="H73" s="280"/>
      <c r="I73" s="403"/>
      <c r="J73" s="281"/>
      <c r="K73" s="281"/>
      <c r="L73" s="281"/>
      <c r="M73" s="281"/>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row>
    <row r="74" spans="1:100" s="274" customFormat="1" ht="33.75" hidden="1" customHeight="1">
      <c r="A74" s="282" t="str">
        <f>A15</f>
        <v>SL. NO.</v>
      </c>
      <c r="B74" s="282"/>
      <c r="C74" s="282"/>
      <c r="D74" s="282"/>
      <c r="E74" s="282"/>
      <c r="F74" s="282"/>
      <c r="G74" s="282"/>
      <c r="H74" s="282"/>
      <c r="I74" s="283" t="str">
        <f>I15</f>
        <v>Description of Test</v>
      </c>
      <c r="J74" s="919" t="e">
        <f>#REF!</f>
        <v>#REF!</v>
      </c>
      <c r="K74" s="919"/>
      <c r="L74" s="919"/>
      <c r="M74" s="919"/>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274" customFormat="1" ht="16.5" hidden="1" customHeight="1">
      <c r="A75" s="467" t="e">
        <f>#REF!</f>
        <v>#REF!</v>
      </c>
      <c r="B75" s="467"/>
      <c r="C75" s="467"/>
      <c r="D75" s="467"/>
      <c r="E75" s="467"/>
      <c r="F75" s="467"/>
      <c r="G75" s="467"/>
      <c r="H75" s="467"/>
      <c r="I75" s="465" t="e">
        <f>#REF!</f>
        <v>#REF!</v>
      </c>
      <c r="J75" s="920" t="e">
        <f>#REF!</f>
        <v>#REF!</v>
      </c>
      <c r="K75" s="920"/>
      <c r="L75" s="920"/>
      <c r="M75" s="920"/>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274" customFormat="1" ht="16.5" hidden="1" customHeight="1">
      <c r="A76" s="284" t="e">
        <f>#REF!</f>
        <v>#REF!</v>
      </c>
      <c r="B76" s="284"/>
      <c r="C76" s="284"/>
      <c r="D76" s="284"/>
      <c r="E76" s="284"/>
      <c r="F76" s="284"/>
      <c r="G76" s="284"/>
      <c r="H76" s="284"/>
      <c r="I76" s="285" t="e">
        <f>#REF!</f>
        <v>#REF!</v>
      </c>
      <c r="J76" s="920"/>
      <c r="K76" s="920"/>
      <c r="L76" s="920"/>
      <c r="M76" s="920"/>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274" customFormat="1" ht="16.5" hidden="1" customHeight="1">
      <c r="A77" s="286" t="e">
        <f>#REF!</f>
        <v>#REF!</v>
      </c>
      <c r="B77" s="286"/>
      <c r="C77" s="286"/>
      <c r="D77" s="286"/>
      <c r="E77" s="286"/>
      <c r="F77" s="286"/>
      <c r="G77" s="286"/>
      <c r="H77" s="286"/>
      <c r="I77" s="287" t="e">
        <f>#REF!</f>
        <v>#REF!</v>
      </c>
      <c r="J77" s="915" t="e">
        <f>#REF!</f>
        <v>#REF!</v>
      </c>
      <c r="K77" s="915"/>
      <c r="L77" s="915"/>
      <c r="M77" s="915"/>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274" customFormat="1" ht="16.5" hidden="1" customHeight="1">
      <c r="A78" s="286" t="e">
        <f>#REF!</f>
        <v>#REF!</v>
      </c>
      <c r="B78" s="286"/>
      <c r="C78" s="286"/>
      <c r="D78" s="286"/>
      <c r="E78" s="286"/>
      <c r="F78" s="286"/>
      <c r="G78" s="286"/>
      <c r="H78" s="286"/>
      <c r="I78" s="287" t="e">
        <f>#REF!</f>
        <v>#REF!</v>
      </c>
      <c r="J78" s="915" t="e">
        <f>#REF!</f>
        <v>#REF!</v>
      </c>
      <c r="K78" s="915"/>
      <c r="L78" s="915"/>
      <c r="M78" s="915"/>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274" customFormat="1" ht="20.100000000000001" hidden="1" customHeight="1">
      <c r="A79" s="288"/>
      <c r="B79" s="288"/>
      <c r="C79" s="288"/>
      <c r="D79" s="288"/>
      <c r="E79" s="288"/>
      <c r="F79" s="288"/>
      <c r="G79" s="288"/>
      <c r="H79" s="288"/>
      <c r="I79" s="285" t="e">
        <f>#REF!</f>
        <v>#REF!</v>
      </c>
      <c r="J79" s="915" t="e">
        <f>#REF!</f>
        <v>#REF!</v>
      </c>
      <c r="K79" s="915"/>
      <c r="L79" s="915"/>
      <c r="M79" s="915"/>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row>
    <row r="80" spans="1:100" s="274" customFormat="1" ht="16.5" hidden="1" customHeight="1">
      <c r="A80" s="284" t="e">
        <f>#REF!</f>
        <v>#REF!</v>
      </c>
      <c r="B80" s="284"/>
      <c r="C80" s="284"/>
      <c r="D80" s="284"/>
      <c r="E80" s="284"/>
      <c r="F80" s="284"/>
      <c r="G80" s="284"/>
      <c r="H80" s="284"/>
      <c r="I80" s="285" t="e">
        <f>#REF!</f>
        <v>#REF!</v>
      </c>
      <c r="J80" s="915"/>
      <c r="K80" s="915"/>
      <c r="L80" s="915"/>
      <c r="M80" s="915"/>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row>
    <row r="81" spans="1:100" s="274" customFormat="1" ht="16.5" hidden="1" customHeight="1">
      <c r="A81" s="289" t="e">
        <f>#REF!</f>
        <v>#REF!</v>
      </c>
      <c r="B81" s="289"/>
      <c r="C81" s="289"/>
      <c r="D81" s="289"/>
      <c r="E81" s="289"/>
      <c r="F81" s="289"/>
      <c r="G81" s="289"/>
      <c r="H81" s="289"/>
      <c r="I81" s="285" t="e">
        <f>#REF!</f>
        <v>#REF!</v>
      </c>
      <c r="J81" s="915"/>
      <c r="K81" s="915"/>
      <c r="L81" s="915"/>
      <c r="M81" s="915"/>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row>
    <row r="82" spans="1:100" s="274" customFormat="1" ht="16.5" hidden="1" customHeight="1">
      <c r="A82" s="290" t="e">
        <f>#REF!</f>
        <v>#REF!</v>
      </c>
      <c r="B82" s="290"/>
      <c r="C82" s="290"/>
      <c r="D82" s="290"/>
      <c r="E82" s="290"/>
      <c r="F82" s="290"/>
      <c r="G82" s="290"/>
      <c r="H82" s="290"/>
      <c r="I82" s="285" t="e">
        <f>#REF!</f>
        <v>#REF!</v>
      </c>
      <c r="J82" s="915"/>
      <c r="K82" s="915"/>
      <c r="L82" s="915"/>
      <c r="M82" s="915"/>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row>
    <row r="83" spans="1:100" s="274" customFormat="1" ht="16.5" hidden="1" customHeight="1">
      <c r="A83" s="286" t="e">
        <f>#REF!</f>
        <v>#REF!</v>
      </c>
      <c r="B83" s="286"/>
      <c r="C83" s="286"/>
      <c r="D83" s="286"/>
      <c r="E83" s="286"/>
      <c r="F83" s="286"/>
      <c r="G83" s="286"/>
      <c r="H83" s="286"/>
      <c r="I83" s="287" t="e">
        <f>#REF!</f>
        <v>#REF!</v>
      </c>
      <c r="J83" s="915" t="e">
        <f>#REF!</f>
        <v>#REF!</v>
      </c>
      <c r="K83" s="915"/>
      <c r="L83" s="915"/>
      <c r="M83" s="915"/>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row>
    <row r="84" spans="1:100" s="274" customFormat="1" ht="16.5" hidden="1" customHeight="1">
      <c r="A84" s="286" t="e">
        <f>#REF!</f>
        <v>#REF!</v>
      </c>
      <c r="B84" s="286"/>
      <c r="C84" s="286"/>
      <c r="D84" s="286"/>
      <c r="E84" s="286"/>
      <c r="F84" s="286"/>
      <c r="G84" s="286"/>
      <c r="H84" s="286"/>
      <c r="I84" s="287" t="e">
        <f>#REF!</f>
        <v>#REF!</v>
      </c>
      <c r="J84" s="915" t="e">
        <f>#REF!</f>
        <v>#REF!</v>
      </c>
      <c r="K84" s="915"/>
      <c r="L84" s="915"/>
      <c r="M84" s="915"/>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row>
    <row r="85" spans="1:100" s="274" customFormat="1" ht="16.5" hidden="1" customHeight="1">
      <c r="A85" s="286" t="e">
        <f>#REF!</f>
        <v>#REF!</v>
      </c>
      <c r="B85" s="286"/>
      <c r="C85" s="286"/>
      <c r="D85" s="286"/>
      <c r="E85" s="286"/>
      <c r="F85" s="286"/>
      <c r="G85" s="286"/>
      <c r="H85" s="286"/>
      <c r="I85" s="287" t="e">
        <f>#REF!</f>
        <v>#REF!</v>
      </c>
      <c r="J85" s="915" t="e">
        <f>#REF!</f>
        <v>#REF!</v>
      </c>
      <c r="K85" s="915"/>
      <c r="L85" s="915"/>
      <c r="M85" s="915"/>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row>
    <row r="86" spans="1:100" s="274" customFormat="1" ht="16.5" hidden="1" customHeight="1">
      <c r="A86" s="286" t="e">
        <f>#REF!</f>
        <v>#REF!</v>
      </c>
      <c r="B86" s="286"/>
      <c r="C86" s="286"/>
      <c r="D86" s="286"/>
      <c r="E86" s="286"/>
      <c r="F86" s="286"/>
      <c r="G86" s="286"/>
      <c r="H86" s="286"/>
      <c r="I86" s="287" t="e">
        <f>#REF!</f>
        <v>#REF!</v>
      </c>
      <c r="J86" s="915" t="e">
        <f>#REF!</f>
        <v>#REF!</v>
      </c>
      <c r="K86" s="915"/>
      <c r="L86" s="915"/>
      <c r="M86" s="915"/>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row>
    <row r="87" spans="1:100" s="274" customFormat="1" ht="16.5" hidden="1" customHeight="1">
      <c r="A87" s="286"/>
      <c r="B87" s="286"/>
      <c r="C87" s="286"/>
      <c r="D87" s="286"/>
      <c r="E87" s="286"/>
      <c r="F87" s="286"/>
      <c r="G87" s="286"/>
      <c r="H87" s="286"/>
      <c r="I87" s="285" t="e">
        <f>#REF!</f>
        <v>#REF!</v>
      </c>
      <c r="J87" s="915" t="e">
        <f>#REF!</f>
        <v>#REF!</v>
      </c>
      <c r="K87" s="915"/>
      <c r="L87" s="915"/>
      <c r="M87" s="915"/>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row>
    <row r="88" spans="1:100" s="274" customFormat="1" ht="20.100000000000001" hidden="1" customHeight="1">
      <c r="A88" s="290" t="e">
        <f>#REF!</f>
        <v>#REF!</v>
      </c>
      <c r="B88" s="290"/>
      <c r="C88" s="290"/>
      <c r="D88" s="290"/>
      <c r="E88" s="290"/>
      <c r="F88" s="290"/>
      <c r="G88" s="290"/>
      <c r="H88" s="290"/>
      <c r="I88" s="285" t="e">
        <f>#REF!</f>
        <v>#REF!</v>
      </c>
      <c r="J88" s="915"/>
      <c r="K88" s="915"/>
      <c r="L88" s="915"/>
      <c r="M88" s="915"/>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row>
    <row r="89" spans="1:100" s="274" customFormat="1" ht="16.5" hidden="1" customHeight="1">
      <c r="A89" s="286" t="e">
        <f>#REF!</f>
        <v>#REF!</v>
      </c>
      <c r="B89" s="286"/>
      <c r="C89" s="286"/>
      <c r="D89" s="286"/>
      <c r="E89" s="286"/>
      <c r="F89" s="286"/>
      <c r="G89" s="286"/>
      <c r="H89" s="286"/>
      <c r="I89" s="287" t="e">
        <f>#REF!</f>
        <v>#REF!</v>
      </c>
      <c r="J89" s="915" t="e">
        <f>#REF!</f>
        <v>#REF!</v>
      </c>
      <c r="K89" s="915"/>
      <c r="L89" s="915"/>
      <c r="M89" s="915"/>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row>
    <row r="90" spans="1:100" s="274" customFormat="1" ht="16.5" hidden="1" customHeight="1">
      <c r="A90" s="286" t="e">
        <f>#REF!</f>
        <v>#REF!</v>
      </c>
      <c r="B90" s="286"/>
      <c r="C90" s="286"/>
      <c r="D90" s="286"/>
      <c r="E90" s="286"/>
      <c r="F90" s="286"/>
      <c r="G90" s="286"/>
      <c r="H90" s="286"/>
      <c r="I90" s="287" t="e">
        <f>#REF!</f>
        <v>#REF!</v>
      </c>
      <c r="J90" s="915" t="e">
        <f>#REF!</f>
        <v>#REF!</v>
      </c>
      <c r="K90" s="915"/>
      <c r="L90" s="915"/>
      <c r="M90" s="915"/>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row>
    <row r="91" spans="1:100" s="274" customFormat="1" ht="20.100000000000001" hidden="1" customHeight="1">
      <c r="A91" s="286" t="e">
        <f>#REF!</f>
        <v>#REF!</v>
      </c>
      <c r="B91" s="286"/>
      <c r="C91" s="286"/>
      <c r="D91" s="286"/>
      <c r="E91" s="286"/>
      <c r="F91" s="286"/>
      <c r="G91" s="286"/>
      <c r="H91" s="286"/>
      <c r="I91" s="287" t="e">
        <f>#REF!</f>
        <v>#REF!</v>
      </c>
      <c r="J91" s="915" t="e">
        <f>#REF!</f>
        <v>#REF!</v>
      </c>
      <c r="K91" s="915"/>
      <c r="L91" s="915"/>
      <c r="M91" s="915"/>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row>
    <row r="92" spans="1:100" s="274" customFormat="1" ht="16.5" hidden="1" customHeight="1">
      <c r="A92" s="286" t="e">
        <f>#REF!</f>
        <v>#REF!</v>
      </c>
      <c r="B92" s="286"/>
      <c r="C92" s="286"/>
      <c r="D92" s="286"/>
      <c r="E92" s="286"/>
      <c r="F92" s="286"/>
      <c r="G92" s="286"/>
      <c r="H92" s="286"/>
      <c r="I92" s="287" t="e">
        <f>#REF!</f>
        <v>#REF!</v>
      </c>
      <c r="J92" s="915" t="e">
        <f>#REF!</f>
        <v>#REF!</v>
      </c>
      <c r="K92" s="915"/>
      <c r="L92" s="915"/>
      <c r="M92" s="915"/>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row>
    <row r="93" spans="1:100" s="292" customFormat="1" ht="20.100000000000001" hidden="1" customHeight="1">
      <c r="A93" s="291"/>
      <c r="B93" s="291"/>
      <c r="C93" s="291"/>
      <c r="D93" s="291"/>
      <c r="E93" s="291"/>
      <c r="F93" s="291"/>
      <c r="G93" s="291"/>
      <c r="H93" s="291"/>
      <c r="I93" s="285" t="e">
        <f>#REF!</f>
        <v>#REF!</v>
      </c>
      <c r="J93" s="915" t="e">
        <f>#REF!</f>
        <v>#REF!</v>
      </c>
      <c r="K93" s="915"/>
      <c r="L93" s="915"/>
      <c r="M93" s="915"/>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row>
    <row r="94" spans="1:100" s="274" customFormat="1" ht="24" hidden="1" customHeight="1">
      <c r="A94" s="290" t="e">
        <f>#REF!</f>
        <v>#REF!</v>
      </c>
      <c r="B94" s="290"/>
      <c r="C94" s="290"/>
      <c r="D94" s="290"/>
      <c r="E94" s="290"/>
      <c r="F94" s="290"/>
      <c r="G94" s="290"/>
      <c r="H94" s="290"/>
      <c r="I94" s="285" t="e">
        <f>#REF!</f>
        <v>#REF!</v>
      </c>
      <c r="J94" s="915"/>
      <c r="K94" s="915"/>
      <c r="L94" s="915"/>
      <c r="M94" s="915"/>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row>
    <row r="95" spans="1:100" s="274" customFormat="1" ht="16.5" hidden="1" customHeight="1">
      <c r="A95" s="286" t="e">
        <f>#REF!</f>
        <v>#REF!</v>
      </c>
      <c r="B95" s="286"/>
      <c r="C95" s="286"/>
      <c r="D95" s="286"/>
      <c r="E95" s="286"/>
      <c r="F95" s="286"/>
      <c r="G95" s="286"/>
      <c r="H95" s="286"/>
      <c r="I95" s="287" t="e">
        <f>#REF!</f>
        <v>#REF!</v>
      </c>
      <c r="J95" s="915" t="e">
        <f>#REF!</f>
        <v>#REF!</v>
      </c>
      <c r="K95" s="915"/>
      <c r="L95" s="915"/>
      <c r="M95" s="915"/>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row>
    <row r="96" spans="1:100" s="274" customFormat="1" ht="16.5" hidden="1" customHeight="1">
      <c r="A96" s="286" t="e">
        <f>#REF!</f>
        <v>#REF!</v>
      </c>
      <c r="B96" s="286"/>
      <c r="C96" s="286"/>
      <c r="D96" s="286"/>
      <c r="E96" s="286"/>
      <c r="F96" s="286"/>
      <c r="G96" s="286"/>
      <c r="H96" s="286"/>
      <c r="I96" s="287" t="e">
        <f>#REF!</f>
        <v>#REF!</v>
      </c>
      <c r="J96" s="915" t="e">
        <f>#REF!</f>
        <v>#REF!</v>
      </c>
      <c r="K96" s="915"/>
      <c r="L96" s="915"/>
      <c r="M96" s="915"/>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row>
    <row r="97" spans="1:100" s="274" customFormat="1" ht="33" hidden="1" customHeight="1">
      <c r="A97" s="286" t="e">
        <f>#REF!</f>
        <v>#REF!</v>
      </c>
      <c r="B97" s="286"/>
      <c r="C97" s="286"/>
      <c r="D97" s="286"/>
      <c r="E97" s="286"/>
      <c r="F97" s="286"/>
      <c r="G97" s="286"/>
      <c r="H97" s="286"/>
      <c r="I97" s="287" t="e">
        <f>#REF!</f>
        <v>#REF!</v>
      </c>
      <c r="J97" s="915" t="e">
        <f>#REF!</f>
        <v>#REF!</v>
      </c>
      <c r="K97" s="915"/>
      <c r="L97" s="915"/>
      <c r="M97" s="915"/>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row>
    <row r="98" spans="1:100" s="292" customFormat="1" ht="20.100000000000001" hidden="1" customHeight="1">
      <c r="A98" s="286"/>
      <c r="B98" s="286"/>
      <c r="C98" s="286"/>
      <c r="D98" s="286"/>
      <c r="E98" s="286"/>
      <c r="F98" s="286"/>
      <c r="G98" s="286"/>
      <c r="H98" s="286"/>
      <c r="I98" s="285" t="e">
        <f>#REF!</f>
        <v>#REF!</v>
      </c>
      <c r="J98" s="915" t="e">
        <f>#REF!</f>
        <v>#REF!</v>
      </c>
      <c r="K98" s="915"/>
      <c r="L98" s="915"/>
      <c r="M98" s="915"/>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row>
    <row r="99" spans="1:100" s="274" customFormat="1" ht="20.100000000000001" hidden="1" customHeight="1">
      <c r="A99" s="290" t="e">
        <f>#REF!</f>
        <v>#REF!</v>
      </c>
      <c r="B99" s="290"/>
      <c r="C99" s="290"/>
      <c r="D99" s="290"/>
      <c r="E99" s="290"/>
      <c r="F99" s="290"/>
      <c r="G99" s="290"/>
      <c r="H99" s="290"/>
      <c r="I99" s="285" t="e">
        <f>#REF!</f>
        <v>#REF!</v>
      </c>
      <c r="J99" s="915"/>
      <c r="K99" s="915"/>
      <c r="L99" s="915"/>
      <c r="M99" s="915"/>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row>
    <row r="100" spans="1:100" s="274" customFormat="1" ht="16.5" hidden="1" customHeight="1">
      <c r="A100" s="286" t="e">
        <f>#REF!</f>
        <v>#REF!</v>
      </c>
      <c r="B100" s="286"/>
      <c r="C100" s="286"/>
      <c r="D100" s="286"/>
      <c r="E100" s="286"/>
      <c r="F100" s="286"/>
      <c r="G100" s="286"/>
      <c r="H100" s="286"/>
      <c r="I100" s="287" t="e">
        <f>#REF!</f>
        <v>#REF!</v>
      </c>
      <c r="J100" s="915" t="e">
        <f>#REF!</f>
        <v>#REF!</v>
      </c>
      <c r="K100" s="915"/>
      <c r="L100" s="915"/>
      <c r="M100" s="915"/>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row>
    <row r="101" spans="1:100" s="274" customFormat="1" ht="16.5" hidden="1" customHeight="1">
      <c r="A101" s="286" t="e">
        <f>#REF!</f>
        <v>#REF!</v>
      </c>
      <c r="B101" s="286"/>
      <c r="C101" s="286"/>
      <c r="D101" s="286"/>
      <c r="E101" s="286"/>
      <c r="F101" s="286"/>
      <c r="G101" s="286"/>
      <c r="H101" s="286"/>
      <c r="I101" s="287" t="e">
        <f>#REF!</f>
        <v>#REF!</v>
      </c>
      <c r="J101" s="915" t="e">
        <f>#REF!</f>
        <v>#REF!</v>
      </c>
      <c r="K101" s="915"/>
      <c r="L101" s="915"/>
      <c r="M101" s="915"/>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row>
    <row r="102" spans="1:100" s="274" customFormat="1" ht="16.5" hidden="1" customHeight="1">
      <c r="A102" s="286" t="e">
        <f>#REF!</f>
        <v>#REF!</v>
      </c>
      <c r="B102" s="286"/>
      <c r="C102" s="286"/>
      <c r="D102" s="286"/>
      <c r="E102" s="286"/>
      <c r="F102" s="286"/>
      <c r="G102" s="286"/>
      <c r="H102" s="286"/>
      <c r="I102" s="287" t="e">
        <f>#REF!</f>
        <v>#REF!</v>
      </c>
      <c r="J102" s="915" t="e">
        <f>#REF!</f>
        <v>#REF!</v>
      </c>
      <c r="K102" s="915"/>
      <c r="L102" s="915"/>
      <c r="M102" s="915"/>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row>
    <row r="103" spans="1:100" s="274" customFormat="1" ht="16.5" hidden="1" customHeight="1">
      <c r="A103" s="286"/>
      <c r="B103" s="286"/>
      <c r="C103" s="286"/>
      <c r="D103" s="286"/>
      <c r="E103" s="286"/>
      <c r="F103" s="286"/>
      <c r="G103" s="286"/>
      <c r="H103" s="286"/>
      <c r="I103" s="285" t="e">
        <f>#REF!</f>
        <v>#REF!</v>
      </c>
      <c r="J103" s="915" t="e">
        <f>#REF!</f>
        <v>#REF!</v>
      </c>
      <c r="K103" s="915"/>
      <c r="L103" s="915"/>
      <c r="M103" s="915"/>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row>
    <row r="104" spans="1:100" s="274" customFormat="1" ht="20.100000000000001" hidden="1" customHeight="1">
      <c r="A104" s="290" t="e">
        <f>#REF!</f>
        <v>#REF!</v>
      </c>
      <c r="B104" s="290"/>
      <c r="C104" s="290"/>
      <c r="D104" s="290"/>
      <c r="E104" s="290"/>
      <c r="F104" s="290"/>
      <c r="G104" s="290"/>
      <c r="H104" s="290"/>
      <c r="I104" s="285" t="e">
        <f>#REF!</f>
        <v>#REF!</v>
      </c>
      <c r="J104" s="915"/>
      <c r="K104" s="915"/>
      <c r="L104" s="915"/>
      <c r="M104" s="915"/>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row>
    <row r="105" spans="1:100" s="274" customFormat="1" ht="16.5" hidden="1" customHeight="1">
      <c r="A105" s="286" t="e">
        <f>#REF!</f>
        <v>#REF!</v>
      </c>
      <c r="B105" s="286"/>
      <c r="C105" s="286"/>
      <c r="D105" s="286"/>
      <c r="E105" s="286"/>
      <c r="F105" s="286"/>
      <c r="G105" s="286"/>
      <c r="H105" s="286"/>
      <c r="I105" s="287" t="e">
        <f>#REF!</f>
        <v>#REF!</v>
      </c>
      <c r="J105" s="915" t="e">
        <f>#REF!</f>
        <v>#REF!</v>
      </c>
      <c r="K105" s="915"/>
      <c r="L105" s="915"/>
      <c r="M105" s="915"/>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row>
    <row r="106" spans="1:100" s="274" customFormat="1" ht="16.5" hidden="1" customHeight="1">
      <c r="A106" s="286" t="e">
        <f>#REF!</f>
        <v>#REF!</v>
      </c>
      <c r="B106" s="286"/>
      <c r="C106" s="286"/>
      <c r="D106" s="286"/>
      <c r="E106" s="286"/>
      <c r="F106" s="286"/>
      <c r="G106" s="286"/>
      <c r="H106" s="286"/>
      <c r="I106" s="287" t="e">
        <f>#REF!</f>
        <v>#REF!</v>
      </c>
      <c r="J106" s="915" t="e">
        <f>#REF!</f>
        <v>#REF!</v>
      </c>
      <c r="K106" s="915"/>
      <c r="L106" s="915"/>
      <c r="M106" s="915"/>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row>
    <row r="107" spans="1:100" s="274" customFormat="1" ht="16.5" hidden="1" customHeight="1">
      <c r="A107" s="286" t="e">
        <f>#REF!</f>
        <v>#REF!</v>
      </c>
      <c r="B107" s="286"/>
      <c r="C107" s="286"/>
      <c r="D107" s="286"/>
      <c r="E107" s="286"/>
      <c r="F107" s="286"/>
      <c r="G107" s="286"/>
      <c r="H107" s="286"/>
      <c r="I107" s="287" t="e">
        <f>#REF!</f>
        <v>#REF!</v>
      </c>
      <c r="J107" s="915" t="e">
        <f>#REF!</f>
        <v>#REF!</v>
      </c>
      <c r="K107" s="915"/>
      <c r="L107" s="915"/>
      <c r="M107" s="915"/>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row>
    <row r="108" spans="1:100" s="274" customFormat="1" ht="16.5" hidden="1" customHeight="1">
      <c r="A108" s="286" t="e">
        <f>#REF!</f>
        <v>#REF!</v>
      </c>
      <c r="B108" s="286"/>
      <c r="C108" s="286"/>
      <c r="D108" s="286"/>
      <c r="E108" s="286"/>
      <c r="F108" s="286"/>
      <c r="G108" s="286"/>
      <c r="H108" s="286"/>
      <c r="I108" s="287" t="e">
        <f>#REF!</f>
        <v>#REF!</v>
      </c>
      <c r="J108" s="915" t="e">
        <f>#REF!</f>
        <v>#REF!</v>
      </c>
      <c r="K108" s="915"/>
      <c r="L108" s="915"/>
      <c r="M108" s="915"/>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292" customFormat="1" ht="20.100000000000001" hidden="1" customHeight="1">
      <c r="A109" s="286"/>
      <c r="B109" s="286"/>
      <c r="C109" s="286"/>
      <c r="D109" s="286"/>
      <c r="E109" s="286"/>
      <c r="F109" s="286"/>
      <c r="G109" s="286"/>
      <c r="H109" s="286"/>
      <c r="I109" s="285" t="e">
        <f>#REF!</f>
        <v>#REF!</v>
      </c>
      <c r="J109" s="915" t="e">
        <f>#REF!</f>
        <v>#REF!</v>
      </c>
      <c r="K109" s="915"/>
      <c r="L109" s="915"/>
      <c r="M109" s="915"/>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274" customFormat="1" ht="20.100000000000001" hidden="1" customHeight="1">
      <c r="A110" s="293"/>
      <c r="B110" s="293"/>
      <c r="C110" s="293"/>
      <c r="D110" s="293"/>
      <c r="E110" s="293"/>
      <c r="F110" s="293"/>
      <c r="G110" s="293"/>
      <c r="H110" s="293"/>
      <c r="I110" s="285" t="e">
        <f>#REF!</f>
        <v>#REF!</v>
      </c>
      <c r="J110" s="915" t="e">
        <f>#REF!</f>
        <v>#REF!</v>
      </c>
      <c r="K110" s="915"/>
      <c r="L110" s="915"/>
      <c r="M110" s="915"/>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274" customFormat="1" ht="16.5" hidden="1" customHeight="1">
      <c r="A111" s="293"/>
      <c r="B111" s="293"/>
      <c r="C111" s="293"/>
      <c r="D111" s="293"/>
      <c r="E111" s="293"/>
      <c r="F111" s="293"/>
      <c r="G111" s="293"/>
      <c r="H111" s="293"/>
      <c r="I111" s="285"/>
      <c r="J111" s="915"/>
      <c r="K111" s="915"/>
      <c r="L111" s="915"/>
      <c r="M111" s="915"/>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274" customFormat="1" ht="20.100000000000001" hidden="1" customHeight="1">
      <c r="A112" s="289" t="e">
        <f>#REF!</f>
        <v>#REF!</v>
      </c>
      <c r="B112" s="289"/>
      <c r="C112" s="289"/>
      <c r="D112" s="289"/>
      <c r="E112" s="289"/>
      <c r="F112" s="289"/>
      <c r="G112" s="289"/>
      <c r="H112" s="289"/>
      <c r="I112" s="285" t="e">
        <f>#REF!</f>
        <v>#REF!</v>
      </c>
      <c r="J112" s="915"/>
      <c r="K112" s="915"/>
      <c r="L112" s="915"/>
      <c r="M112" s="915"/>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274" customFormat="1" ht="30" hidden="1" customHeight="1">
      <c r="A113" s="290" t="e">
        <f>#REF!</f>
        <v>#REF!</v>
      </c>
      <c r="B113" s="290"/>
      <c r="C113" s="290"/>
      <c r="D113" s="290"/>
      <c r="E113" s="290"/>
      <c r="F113" s="290"/>
      <c r="G113" s="290"/>
      <c r="H113" s="290"/>
      <c r="I113" s="285" t="e">
        <f>#REF!</f>
        <v>#REF!</v>
      </c>
      <c r="J113" s="915"/>
      <c r="K113" s="915"/>
      <c r="L113" s="915"/>
      <c r="M113" s="915"/>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row>
    <row r="114" spans="1:100" s="274" customFormat="1" ht="16.5" hidden="1" customHeight="1">
      <c r="A114" s="286" t="e">
        <f>#REF!</f>
        <v>#REF!</v>
      </c>
      <c r="B114" s="286"/>
      <c r="C114" s="286"/>
      <c r="D114" s="286"/>
      <c r="E114" s="286"/>
      <c r="F114" s="286"/>
      <c r="G114" s="286"/>
      <c r="H114" s="286"/>
      <c r="I114" s="287" t="e">
        <f>#REF!</f>
        <v>#REF!</v>
      </c>
      <c r="J114" s="915" t="e">
        <f>#REF!</f>
        <v>#REF!</v>
      </c>
      <c r="K114" s="915"/>
      <c r="L114" s="915"/>
      <c r="M114" s="915"/>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row>
    <row r="115" spans="1:100" s="274" customFormat="1" ht="16.5" hidden="1" customHeight="1">
      <c r="A115" s="286" t="e">
        <f>#REF!</f>
        <v>#REF!</v>
      </c>
      <c r="B115" s="286"/>
      <c r="C115" s="286"/>
      <c r="D115" s="286"/>
      <c r="E115" s="286"/>
      <c r="F115" s="286"/>
      <c r="G115" s="286"/>
      <c r="H115" s="286"/>
      <c r="I115" s="287" t="e">
        <f>#REF!</f>
        <v>#REF!</v>
      </c>
      <c r="J115" s="915" t="e">
        <f>#REF!</f>
        <v>#REF!</v>
      </c>
      <c r="K115" s="915"/>
      <c r="L115" s="915"/>
      <c r="M115" s="915"/>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row>
    <row r="116" spans="1:100" s="274" customFormat="1" ht="16.5" hidden="1" customHeight="1">
      <c r="A116" s="286" t="e">
        <f>#REF!</f>
        <v>#REF!</v>
      </c>
      <c r="B116" s="286"/>
      <c r="C116" s="286"/>
      <c r="D116" s="286"/>
      <c r="E116" s="286"/>
      <c r="F116" s="286"/>
      <c r="G116" s="286"/>
      <c r="H116" s="286"/>
      <c r="I116" s="287" t="e">
        <f>#REF!</f>
        <v>#REF!</v>
      </c>
      <c r="J116" s="915" t="e">
        <f>#REF!</f>
        <v>#REF!</v>
      </c>
      <c r="K116" s="915"/>
      <c r="L116" s="915"/>
      <c r="M116" s="915"/>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row>
    <row r="117" spans="1:100" s="274" customFormat="1" ht="20.100000000000001" hidden="1" customHeight="1">
      <c r="A117" s="294"/>
      <c r="B117" s="294"/>
      <c r="C117" s="294"/>
      <c r="D117" s="294"/>
      <c r="E117" s="294"/>
      <c r="F117" s="294"/>
      <c r="G117" s="294"/>
      <c r="H117" s="294"/>
      <c r="I117" s="285" t="e">
        <f>#REF!</f>
        <v>#REF!</v>
      </c>
      <c r="J117" s="915" t="e">
        <f>#REF!</f>
        <v>#REF!</v>
      </c>
      <c r="K117" s="915"/>
      <c r="L117" s="915"/>
      <c r="M117" s="915"/>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row>
    <row r="118" spans="1:100" s="274" customFormat="1" ht="20.100000000000001" hidden="1" customHeight="1">
      <c r="A118" s="293"/>
      <c r="B118" s="293"/>
      <c r="C118" s="293"/>
      <c r="D118" s="293"/>
      <c r="E118" s="293"/>
      <c r="F118" s="293"/>
      <c r="G118" s="293"/>
      <c r="H118" s="293"/>
      <c r="I118" s="285" t="e">
        <f>#REF!</f>
        <v>#REF!</v>
      </c>
      <c r="J118" s="915" t="e">
        <f>#REF!</f>
        <v>#REF!</v>
      </c>
      <c r="K118" s="915"/>
      <c r="L118" s="915"/>
      <c r="M118" s="915"/>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row>
    <row r="119" spans="1:100" s="274" customFormat="1" ht="20.100000000000001" hidden="1" customHeight="1">
      <c r="A119" s="284" t="e">
        <f>#REF!</f>
        <v>#REF!</v>
      </c>
      <c r="B119" s="284"/>
      <c r="C119" s="284"/>
      <c r="D119" s="284"/>
      <c r="E119" s="284"/>
      <c r="F119" s="284"/>
      <c r="G119" s="284"/>
      <c r="H119" s="284"/>
      <c r="I119" s="285" t="e">
        <f>#REF!</f>
        <v>#REF!</v>
      </c>
      <c r="J119" s="915"/>
      <c r="K119" s="915"/>
      <c r="L119" s="915"/>
      <c r="M119" s="915"/>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row>
    <row r="120" spans="1:100" s="274" customFormat="1" ht="30" hidden="1" customHeight="1">
      <c r="A120" s="289" t="e">
        <f>#REF!</f>
        <v>#REF!</v>
      </c>
      <c r="B120" s="289"/>
      <c r="C120" s="289"/>
      <c r="D120" s="289"/>
      <c r="E120" s="289"/>
      <c r="F120" s="289"/>
      <c r="G120" s="289"/>
      <c r="H120" s="289"/>
      <c r="I120" s="285" t="e">
        <f>#REF!</f>
        <v>#REF!</v>
      </c>
      <c r="J120" s="915"/>
      <c r="K120" s="915"/>
      <c r="L120" s="915"/>
      <c r="M120" s="915"/>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row>
    <row r="121" spans="1:100" s="274" customFormat="1" ht="20.100000000000001" hidden="1" customHeight="1">
      <c r="A121" s="286" t="e">
        <f>#REF!</f>
        <v>#REF!</v>
      </c>
      <c r="B121" s="286"/>
      <c r="C121" s="286"/>
      <c r="D121" s="286"/>
      <c r="E121" s="286"/>
      <c r="F121" s="286"/>
      <c r="G121" s="286"/>
      <c r="H121" s="286"/>
      <c r="I121" s="287" t="e">
        <f>#REF!</f>
        <v>#REF!</v>
      </c>
      <c r="J121" s="915" t="e">
        <f>#REF!</f>
        <v>#REF!</v>
      </c>
      <c r="K121" s="915"/>
      <c r="L121" s="915"/>
      <c r="M121" s="915"/>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row>
    <row r="122" spans="1:100" s="274" customFormat="1" ht="20.100000000000001" hidden="1" customHeight="1">
      <c r="A122" s="286" t="e">
        <f>#REF!</f>
        <v>#REF!</v>
      </c>
      <c r="B122" s="286"/>
      <c r="C122" s="286"/>
      <c r="D122" s="286"/>
      <c r="E122" s="286"/>
      <c r="F122" s="286"/>
      <c r="G122" s="286"/>
      <c r="H122" s="286"/>
      <c r="I122" s="287" t="e">
        <f>#REF!</f>
        <v>#REF!</v>
      </c>
      <c r="J122" s="915" t="e">
        <f>#REF!</f>
        <v>#REF!</v>
      </c>
      <c r="K122" s="915"/>
      <c r="L122" s="915"/>
      <c r="M122" s="915"/>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274" customFormat="1" ht="20.100000000000001" hidden="1" customHeight="1">
      <c r="A123" s="286" t="e">
        <f>#REF!</f>
        <v>#REF!</v>
      </c>
      <c r="B123" s="286"/>
      <c r="C123" s="286"/>
      <c r="D123" s="286"/>
      <c r="E123" s="286"/>
      <c r="F123" s="286"/>
      <c r="G123" s="286"/>
      <c r="H123" s="286"/>
      <c r="I123" s="287" t="e">
        <f>#REF!</f>
        <v>#REF!</v>
      </c>
      <c r="J123" s="915" t="e">
        <f>#REF!</f>
        <v>#REF!</v>
      </c>
      <c r="K123" s="915"/>
      <c r="L123" s="915"/>
      <c r="M123" s="915"/>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274" customFormat="1" ht="20.100000000000001" hidden="1" customHeight="1">
      <c r="A124" s="286" t="e">
        <f>#REF!</f>
        <v>#REF!</v>
      </c>
      <c r="B124" s="286"/>
      <c r="C124" s="286"/>
      <c r="D124" s="286"/>
      <c r="E124" s="286"/>
      <c r="F124" s="286"/>
      <c r="G124" s="286"/>
      <c r="H124" s="286"/>
      <c r="I124" s="287" t="e">
        <f>#REF!</f>
        <v>#REF!</v>
      </c>
      <c r="J124" s="915" t="e">
        <f>#REF!</f>
        <v>#REF!</v>
      </c>
      <c r="K124" s="915"/>
      <c r="L124" s="915"/>
      <c r="M124" s="915"/>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274" customFormat="1" ht="20.100000000000001" hidden="1" customHeight="1">
      <c r="A125" s="286" t="e">
        <f>#REF!</f>
        <v>#REF!</v>
      </c>
      <c r="B125" s="286"/>
      <c r="C125" s="286"/>
      <c r="D125" s="286"/>
      <c r="E125" s="286"/>
      <c r="F125" s="286"/>
      <c r="G125" s="286"/>
      <c r="H125" s="286"/>
      <c r="I125" s="287" t="e">
        <f>#REF!</f>
        <v>#REF!</v>
      </c>
      <c r="J125" s="915" t="e">
        <f>#REF!</f>
        <v>#REF!</v>
      </c>
      <c r="K125" s="915"/>
      <c r="L125" s="915"/>
      <c r="M125" s="915"/>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274" customFormat="1" ht="20.100000000000001" hidden="1" customHeight="1">
      <c r="A126" s="288"/>
      <c r="B126" s="288"/>
      <c r="C126" s="288"/>
      <c r="D126" s="288"/>
      <c r="E126" s="288"/>
      <c r="F126" s="288"/>
      <c r="G126" s="288"/>
      <c r="H126" s="288"/>
      <c r="I126" s="285" t="e">
        <f>#REF!</f>
        <v>#REF!</v>
      </c>
      <c r="J126" s="915" t="e">
        <f>#REF!</f>
        <v>#REF!</v>
      </c>
      <c r="K126" s="915"/>
      <c r="L126" s="915"/>
      <c r="M126" s="915"/>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274" customFormat="1" ht="20.100000000000001" hidden="1" customHeight="1">
      <c r="A127" s="289" t="e">
        <f>#REF!</f>
        <v>#REF!</v>
      </c>
      <c r="B127" s="289"/>
      <c r="C127" s="289"/>
      <c r="D127" s="289"/>
      <c r="E127" s="289"/>
      <c r="F127" s="289"/>
      <c r="G127" s="289"/>
      <c r="H127" s="289"/>
      <c r="I127" s="285" t="e">
        <f>#REF!</f>
        <v>#REF!</v>
      </c>
      <c r="J127" s="915"/>
      <c r="K127" s="915"/>
      <c r="L127" s="915"/>
      <c r="M127" s="915"/>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304"/>
      <c r="CF127" s="304"/>
      <c r="CG127" s="304"/>
      <c r="CH127" s="304"/>
      <c r="CI127" s="304"/>
      <c r="CJ127" s="304"/>
      <c r="CK127" s="304"/>
      <c r="CL127" s="304"/>
      <c r="CM127" s="304"/>
      <c r="CN127" s="304"/>
      <c r="CO127" s="304"/>
      <c r="CP127" s="304"/>
      <c r="CQ127" s="304"/>
      <c r="CR127" s="304"/>
      <c r="CS127" s="304"/>
      <c r="CT127" s="304"/>
      <c r="CU127" s="304"/>
      <c r="CV127" s="304"/>
    </row>
    <row r="128" spans="1:100" s="274" customFormat="1" ht="20.100000000000001" hidden="1" customHeight="1">
      <c r="A128" s="286" t="e">
        <f>#REF!</f>
        <v>#REF!</v>
      </c>
      <c r="B128" s="286"/>
      <c r="C128" s="286"/>
      <c r="D128" s="286"/>
      <c r="E128" s="286"/>
      <c r="F128" s="286"/>
      <c r="G128" s="286"/>
      <c r="H128" s="286"/>
      <c r="I128" s="295" t="e">
        <f>#REF!</f>
        <v>#REF!</v>
      </c>
      <c r="J128" s="915" t="e">
        <f>#REF!</f>
        <v>#REF!</v>
      </c>
      <c r="K128" s="915"/>
      <c r="L128" s="915"/>
      <c r="M128" s="915"/>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row>
    <row r="129" spans="1:100" s="274" customFormat="1" ht="20.100000000000001" hidden="1" customHeight="1">
      <c r="A129" s="286" t="e">
        <f>#REF!</f>
        <v>#REF!</v>
      </c>
      <c r="B129" s="286"/>
      <c r="C129" s="286"/>
      <c r="D129" s="286"/>
      <c r="E129" s="286"/>
      <c r="F129" s="286"/>
      <c r="G129" s="286"/>
      <c r="H129" s="286"/>
      <c r="I129" s="295" t="e">
        <f>#REF!</f>
        <v>#REF!</v>
      </c>
      <c r="J129" s="915" t="e">
        <f>#REF!</f>
        <v>#REF!</v>
      </c>
      <c r="K129" s="915"/>
      <c r="L129" s="915"/>
      <c r="M129" s="915"/>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4"/>
      <c r="BO129" s="304"/>
      <c r="BP129" s="304"/>
      <c r="BQ129" s="304"/>
      <c r="BR129" s="304"/>
      <c r="BS129" s="304"/>
      <c r="BT129" s="304"/>
      <c r="BU129" s="304"/>
      <c r="BV129" s="304"/>
      <c r="BW129" s="304"/>
      <c r="BX129" s="304"/>
      <c r="BY129" s="304"/>
      <c r="BZ129" s="304"/>
      <c r="CA129" s="304"/>
      <c r="CB129" s="304"/>
      <c r="CC129" s="304"/>
      <c r="CD129" s="304"/>
      <c r="CE129" s="304"/>
      <c r="CF129" s="304"/>
      <c r="CG129" s="304"/>
      <c r="CH129" s="304"/>
      <c r="CI129" s="304"/>
      <c r="CJ129" s="304"/>
      <c r="CK129" s="304"/>
      <c r="CL129" s="304"/>
      <c r="CM129" s="304"/>
      <c r="CN129" s="304"/>
      <c r="CO129" s="304"/>
      <c r="CP129" s="304"/>
      <c r="CQ129" s="304"/>
      <c r="CR129" s="304"/>
      <c r="CS129" s="304"/>
      <c r="CT129" s="304"/>
      <c r="CU129" s="304"/>
      <c r="CV129" s="304"/>
    </row>
    <row r="130" spans="1:100" s="274" customFormat="1" ht="20.100000000000001" hidden="1" customHeight="1">
      <c r="A130" s="286" t="e">
        <f>#REF!</f>
        <v>#REF!</v>
      </c>
      <c r="B130" s="286"/>
      <c r="C130" s="286"/>
      <c r="D130" s="286"/>
      <c r="E130" s="286"/>
      <c r="F130" s="286"/>
      <c r="G130" s="286"/>
      <c r="H130" s="286"/>
      <c r="I130" s="295" t="e">
        <f>#REF!</f>
        <v>#REF!</v>
      </c>
      <c r="J130" s="915" t="e">
        <f>#REF!</f>
        <v>#REF!</v>
      </c>
      <c r="K130" s="915"/>
      <c r="L130" s="915"/>
      <c r="M130" s="915"/>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4"/>
      <c r="BE130" s="304"/>
      <c r="BF130" s="304"/>
      <c r="BG130" s="304"/>
      <c r="BH130" s="304"/>
      <c r="BI130" s="304"/>
      <c r="BJ130" s="304"/>
      <c r="BK130" s="304"/>
      <c r="BL130" s="304"/>
      <c r="BM130" s="304"/>
      <c r="BN130" s="304"/>
      <c r="BO130" s="304"/>
      <c r="BP130" s="304"/>
      <c r="BQ130" s="304"/>
      <c r="BR130" s="304"/>
      <c r="BS130" s="304"/>
      <c r="BT130" s="304"/>
      <c r="BU130" s="304"/>
      <c r="BV130" s="304"/>
      <c r="BW130" s="304"/>
      <c r="BX130" s="304"/>
      <c r="BY130" s="304"/>
      <c r="BZ130" s="304"/>
      <c r="CA130" s="304"/>
      <c r="CB130" s="304"/>
      <c r="CC130" s="304"/>
      <c r="CD130" s="304"/>
      <c r="CE130" s="304"/>
      <c r="CF130" s="304"/>
      <c r="CG130" s="304"/>
      <c r="CH130" s="304"/>
      <c r="CI130" s="304"/>
      <c r="CJ130" s="304"/>
      <c r="CK130" s="304"/>
      <c r="CL130" s="304"/>
      <c r="CM130" s="304"/>
      <c r="CN130" s="304"/>
      <c r="CO130" s="304"/>
      <c r="CP130" s="304"/>
      <c r="CQ130" s="304"/>
      <c r="CR130" s="304"/>
      <c r="CS130" s="304"/>
      <c r="CT130" s="304"/>
      <c r="CU130" s="304"/>
      <c r="CV130" s="304"/>
    </row>
    <row r="131" spans="1:100" s="274" customFormat="1" ht="20.100000000000001" hidden="1" customHeight="1">
      <c r="A131" s="286" t="e">
        <f>#REF!</f>
        <v>#REF!</v>
      </c>
      <c r="B131" s="286"/>
      <c r="C131" s="286"/>
      <c r="D131" s="286"/>
      <c r="E131" s="286"/>
      <c r="F131" s="286"/>
      <c r="G131" s="286"/>
      <c r="H131" s="286"/>
      <c r="I131" s="295" t="e">
        <f>#REF!</f>
        <v>#REF!</v>
      </c>
      <c r="J131" s="915" t="e">
        <f>#REF!</f>
        <v>#REF!</v>
      </c>
      <c r="K131" s="915"/>
      <c r="L131" s="915"/>
      <c r="M131" s="915"/>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4"/>
      <c r="CP131" s="304"/>
      <c r="CQ131" s="304"/>
      <c r="CR131" s="304"/>
      <c r="CS131" s="304"/>
      <c r="CT131" s="304"/>
      <c r="CU131" s="304"/>
      <c r="CV131" s="304"/>
    </row>
    <row r="132" spans="1:100" s="274" customFormat="1" ht="20.100000000000001" hidden="1" customHeight="1">
      <c r="A132" s="286" t="e">
        <f>#REF!</f>
        <v>#REF!</v>
      </c>
      <c r="B132" s="286"/>
      <c r="C132" s="286"/>
      <c r="D132" s="286"/>
      <c r="E132" s="286"/>
      <c r="F132" s="286"/>
      <c r="G132" s="286"/>
      <c r="H132" s="286"/>
      <c r="I132" s="295" t="e">
        <f>#REF!</f>
        <v>#REF!</v>
      </c>
      <c r="J132" s="915" t="e">
        <f>#REF!</f>
        <v>#REF!</v>
      </c>
      <c r="K132" s="915"/>
      <c r="L132" s="915"/>
      <c r="M132" s="915"/>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4"/>
      <c r="BJ132" s="304"/>
      <c r="BK132" s="304"/>
      <c r="BL132" s="304"/>
      <c r="BM132" s="304"/>
      <c r="BN132" s="304"/>
      <c r="BO132" s="304"/>
      <c r="BP132" s="304"/>
      <c r="BQ132" s="304"/>
      <c r="BR132" s="304"/>
      <c r="BS132" s="304"/>
      <c r="BT132" s="304"/>
      <c r="BU132" s="304"/>
      <c r="BV132" s="304"/>
      <c r="BW132" s="304"/>
      <c r="BX132" s="304"/>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row>
    <row r="133" spans="1:100" s="274" customFormat="1" ht="20.100000000000001" hidden="1" customHeight="1">
      <c r="A133" s="286" t="e">
        <f>#REF!</f>
        <v>#REF!</v>
      </c>
      <c r="B133" s="286"/>
      <c r="C133" s="286"/>
      <c r="D133" s="286"/>
      <c r="E133" s="286"/>
      <c r="F133" s="286"/>
      <c r="G133" s="286"/>
      <c r="H133" s="286"/>
      <c r="I133" s="295" t="e">
        <f>#REF!</f>
        <v>#REF!</v>
      </c>
      <c r="J133" s="915" t="e">
        <f>#REF!</f>
        <v>#REF!</v>
      </c>
      <c r="K133" s="915"/>
      <c r="L133" s="915"/>
      <c r="M133" s="915"/>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304"/>
      <c r="CD133" s="304"/>
      <c r="CE133" s="304"/>
      <c r="CF133" s="304"/>
      <c r="CG133" s="304"/>
      <c r="CH133" s="304"/>
      <c r="CI133" s="304"/>
      <c r="CJ133" s="304"/>
      <c r="CK133" s="304"/>
      <c r="CL133" s="304"/>
      <c r="CM133" s="304"/>
      <c r="CN133" s="304"/>
      <c r="CO133" s="304"/>
      <c r="CP133" s="304"/>
      <c r="CQ133" s="304"/>
      <c r="CR133" s="304"/>
      <c r="CS133" s="304"/>
      <c r="CT133" s="304"/>
      <c r="CU133" s="304"/>
      <c r="CV133" s="304"/>
    </row>
    <row r="134" spans="1:100" s="274" customFormat="1" ht="20.100000000000001" hidden="1" customHeight="1">
      <c r="A134" s="296"/>
      <c r="B134" s="296"/>
      <c r="C134" s="296"/>
      <c r="D134" s="296"/>
      <c r="E134" s="296"/>
      <c r="F134" s="296"/>
      <c r="G134" s="296"/>
      <c r="H134" s="296"/>
      <c r="I134" s="285" t="e">
        <f>#REF!</f>
        <v>#REF!</v>
      </c>
      <c r="J134" s="915" t="e">
        <f>#REF!</f>
        <v>#REF!</v>
      </c>
      <c r="K134" s="915"/>
      <c r="L134" s="915"/>
      <c r="M134" s="915"/>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row>
    <row r="135" spans="1:100" s="274" customFormat="1" ht="35.25" hidden="1" customHeight="1">
      <c r="A135" s="289" t="e">
        <f>#REF!</f>
        <v>#REF!</v>
      </c>
      <c r="B135" s="289"/>
      <c r="C135" s="289"/>
      <c r="D135" s="289"/>
      <c r="E135" s="289"/>
      <c r="F135" s="289"/>
      <c r="G135" s="289"/>
      <c r="H135" s="289"/>
      <c r="I135" s="285" t="e">
        <f>#REF!</f>
        <v>#REF!</v>
      </c>
      <c r="J135" s="915"/>
      <c r="K135" s="915"/>
      <c r="L135" s="915"/>
      <c r="M135" s="915"/>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row>
    <row r="136" spans="1:100" s="274" customFormat="1" ht="19.5" hidden="1" customHeight="1">
      <c r="A136" s="286" t="e">
        <f>#REF!</f>
        <v>#REF!</v>
      </c>
      <c r="B136" s="286"/>
      <c r="C136" s="286"/>
      <c r="D136" s="286"/>
      <c r="E136" s="286"/>
      <c r="F136" s="286"/>
      <c r="G136" s="286"/>
      <c r="H136" s="286"/>
      <c r="I136" s="295" t="e">
        <f>#REF!</f>
        <v>#REF!</v>
      </c>
      <c r="J136" s="915" t="e">
        <f>#REF!</f>
        <v>#REF!</v>
      </c>
      <c r="K136" s="915"/>
      <c r="L136" s="915"/>
      <c r="M136" s="915"/>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4"/>
      <c r="AR136" s="304"/>
      <c r="AS136" s="304"/>
      <c r="AT136" s="304"/>
      <c r="AU136" s="304"/>
      <c r="AV136" s="304"/>
      <c r="AW136" s="304"/>
      <c r="AX136" s="304"/>
      <c r="AY136" s="304"/>
      <c r="AZ136" s="304"/>
      <c r="BA136" s="304"/>
      <c r="BB136" s="304"/>
      <c r="BC136" s="304"/>
      <c r="BD136" s="304"/>
      <c r="BE136" s="304"/>
      <c r="BF136" s="304"/>
      <c r="BG136" s="304"/>
      <c r="BH136" s="304"/>
      <c r="BI136" s="304"/>
      <c r="BJ136" s="304"/>
      <c r="BK136" s="304"/>
      <c r="BL136" s="304"/>
      <c r="BM136" s="304"/>
      <c r="BN136" s="304"/>
      <c r="BO136" s="304"/>
      <c r="BP136" s="304"/>
      <c r="BQ136" s="304"/>
      <c r="BR136" s="304"/>
      <c r="BS136" s="304"/>
      <c r="BT136" s="304"/>
      <c r="BU136" s="304"/>
      <c r="BV136" s="304"/>
      <c r="BW136" s="304"/>
      <c r="BX136" s="304"/>
      <c r="BY136" s="304"/>
      <c r="BZ136" s="304"/>
      <c r="CA136" s="304"/>
      <c r="CB136" s="304"/>
      <c r="CC136" s="304"/>
      <c r="CD136" s="304"/>
      <c r="CE136" s="304"/>
      <c r="CF136" s="304"/>
      <c r="CG136" s="304"/>
      <c r="CH136" s="304"/>
      <c r="CI136" s="304"/>
      <c r="CJ136" s="304"/>
      <c r="CK136" s="304"/>
      <c r="CL136" s="304"/>
      <c r="CM136" s="304"/>
      <c r="CN136" s="304"/>
      <c r="CO136" s="304"/>
      <c r="CP136" s="304"/>
      <c r="CQ136" s="304"/>
      <c r="CR136" s="304"/>
      <c r="CS136" s="304"/>
      <c r="CT136" s="304"/>
      <c r="CU136" s="304"/>
      <c r="CV136" s="304"/>
    </row>
    <row r="137" spans="1:100" s="274" customFormat="1" ht="19.5" hidden="1" customHeight="1">
      <c r="A137" s="286" t="e">
        <f>#REF!</f>
        <v>#REF!</v>
      </c>
      <c r="B137" s="286"/>
      <c r="C137" s="286"/>
      <c r="D137" s="286"/>
      <c r="E137" s="286"/>
      <c r="F137" s="286"/>
      <c r="G137" s="286"/>
      <c r="H137" s="286"/>
      <c r="I137" s="295" t="e">
        <f>#REF!</f>
        <v>#REF!</v>
      </c>
      <c r="J137" s="915" t="e">
        <f>#REF!</f>
        <v>#REF!</v>
      </c>
      <c r="K137" s="915"/>
      <c r="L137" s="915"/>
      <c r="M137" s="915"/>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4"/>
      <c r="BZ137" s="304"/>
      <c r="CA137" s="304"/>
      <c r="CB137" s="304"/>
      <c r="CC137" s="304"/>
      <c r="CD137" s="304"/>
      <c r="CE137" s="304"/>
      <c r="CF137" s="304"/>
      <c r="CG137" s="304"/>
      <c r="CH137" s="304"/>
      <c r="CI137" s="304"/>
      <c r="CJ137" s="304"/>
      <c r="CK137" s="304"/>
      <c r="CL137" s="304"/>
      <c r="CM137" s="304"/>
      <c r="CN137" s="304"/>
      <c r="CO137" s="304"/>
      <c r="CP137" s="304"/>
      <c r="CQ137" s="304"/>
      <c r="CR137" s="304"/>
      <c r="CS137" s="304"/>
      <c r="CT137" s="304"/>
      <c r="CU137" s="304"/>
      <c r="CV137" s="304"/>
    </row>
    <row r="138" spans="1:100" s="274" customFormat="1" ht="19.5" hidden="1" customHeight="1">
      <c r="A138" s="286" t="e">
        <f>#REF!</f>
        <v>#REF!</v>
      </c>
      <c r="B138" s="286"/>
      <c r="C138" s="286"/>
      <c r="D138" s="286"/>
      <c r="E138" s="286"/>
      <c r="F138" s="286"/>
      <c r="G138" s="286"/>
      <c r="H138" s="286"/>
      <c r="I138" s="295" t="e">
        <f>#REF!</f>
        <v>#REF!</v>
      </c>
      <c r="J138" s="915" t="e">
        <f>#REF!</f>
        <v>#REF!</v>
      </c>
      <c r="K138" s="915"/>
      <c r="L138" s="915"/>
      <c r="M138" s="915"/>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4"/>
      <c r="BZ138" s="304"/>
      <c r="CA138" s="304"/>
      <c r="CB138" s="304"/>
      <c r="CC138" s="304"/>
      <c r="CD138" s="304"/>
      <c r="CE138" s="304"/>
      <c r="CF138" s="304"/>
      <c r="CG138" s="304"/>
      <c r="CH138" s="304"/>
      <c r="CI138" s="304"/>
      <c r="CJ138" s="304"/>
      <c r="CK138" s="304"/>
      <c r="CL138" s="304"/>
      <c r="CM138" s="304"/>
      <c r="CN138" s="304"/>
      <c r="CO138" s="304"/>
      <c r="CP138" s="304"/>
      <c r="CQ138" s="304"/>
      <c r="CR138" s="304"/>
      <c r="CS138" s="304"/>
      <c r="CT138" s="304"/>
      <c r="CU138" s="304"/>
      <c r="CV138" s="304"/>
    </row>
    <row r="139" spans="1:100" s="274" customFormat="1" ht="19.5" hidden="1" customHeight="1">
      <c r="A139" s="286" t="e">
        <f>#REF!</f>
        <v>#REF!</v>
      </c>
      <c r="B139" s="286"/>
      <c r="C139" s="286"/>
      <c r="D139" s="286"/>
      <c r="E139" s="286"/>
      <c r="F139" s="286"/>
      <c r="G139" s="286"/>
      <c r="H139" s="286"/>
      <c r="I139" s="295" t="e">
        <f>#REF!</f>
        <v>#REF!</v>
      </c>
      <c r="J139" s="915" t="e">
        <f>#REF!</f>
        <v>#REF!</v>
      </c>
      <c r="K139" s="915"/>
      <c r="L139" s="915"/>
      <c r="M139" s="915"/>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c r="BA139" s="304"/>
      <c r="BB139" s="304"/>
      <c r="BC139" s="304"/>
      <c r="BD139" s="304"/>
      <c r="BE139" s="304"/>
      <c r="BF139" s="304"/>
      <c r="BG139" s="304"/>
      <c r="BH139" s="304"/>
      <c r="BI139" s="304"/>
      <c r="BJ139" s="304"/>
      <c r="BK139" s="304"/>
      <c r="BL139" s="304"/>
      <c r="BM139" s="304"/>
      <c r="BN139" s="304"/>
      <c r="BO139" s="304"/>
      <c r="BP139" s="304"/>
      <c r="BQ139" s="304"/>
      <c r="BR139" s="304"/>
      <c r="BS139" s="304"/>
      <c r="BT139" s="304"/>
      <c r="BU139" s="304"/>
      <c r="BV139" s="304"/>
      <c r="BW139" s="304"/>
      <c r="BX139" s="304"/>
      <c r="BY139" s="304"/>
      <c r="BZ139" s="304"/>
      <c r="CA139" s="304"/>
      <c r="CB139" s="304"/>
      <c r="CC139" s="304"/>
      <c r="CD139" s="304"/>
      <c r="CE139" s="304"/>
      <c r="CF139" s="304"/>
      <c r="CG139" s="304"/>
      <c r="CH139" s="304"/>
      <c r="CI139" s="304"/>
      <c r="CJ139" s="304"/>
      <c r="CK139" s="304"/>
      <c r="CL139" s="304"/>
      <c r="CM139" s="304"/>
      <c r="CN139" s="304"/>
      <c r="CO139" s="304"/>
      <c r="CP139" s="304"/>
      <c r="CQ139" s="304"/>
      <c r="CR139" s="304"/>
      <c r="CS139" s="304"/>
      <c r="CT139" s="304"/>
      <c r="CU139" s="304"/>
      <c r="CV139" s="304"/>
    </row>
    <row r="140" spans="1:100" s="274" customFormat="1" ht="33" hidden="1" customHeight="1">
      <c r="A140" s="286" t="e">
        <f>#REF!</f>
        <v>#REF!</v>
      </c>
      <c r="B140" s="286"/>
      <c r="C140" s="286"/>
      <c r="D140" s="286"/>
      <c r="E140" s="286"/>
      <c r="F140" s="286"/>
      <c r="G140" s="286"/>
      <c r="H140" s="286"/>
      <c r="I140" s="295" t="e">
        <f>#REF!</f>
        <v>#REF!</v>
      </c>
      <c r="J140" s="915" t="e">
        <f>#REF!</f>
        <v>#REF!</v>
      </c>
      <c r="K140" s="915"/>
      <c r="L140" s="915"/>
      <c r="M140" s="915"/>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row>
    <row r="141" spans="1:100" s="274" customFormat="1" ht="19.5" hidden="1" customHeight="1">
      <c r="A141" s="286" t="e">
        <f>#REF!</f>
        <v>#REF!</v>
      </c>
      <c r="B141" s="286"/>
      <c r="C141" s="286"/>
      <c r="D141" s="286"/>
      <c r="E141" s="286"/>
      <c r="F141" s="286"/>
      <c r="G141" s="286"/>
      <c r="H141" s="286"/>
      <c r="I141" s="295" t="e">
        <f>#REF!</f>
        <v>#REF!</v>
      </c>
      <c r="J141" s="915" t="e">
        <f>#REF!</f>
        <v>#REF!</v>
      </c>
      <c r="K141" s="915"/>
      <c r="L141" s="915"/>
      <c r="M141" s="915"/>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4"/>
      <c r="AR141" s="304"/>
      <c r="AS141" s="304"/>
      <c r="AT141" s="304"/>
      <c r="AU141" s="304"/>
      <c r="AV141" s="304"/>
      <c r="AW141" s="304"/>
      <c r="AX141" s="304"/>
      <c r="AY141" s="304"/>
      <c r="AZ141" s="304"/>
      <c r="BA141" s="304"/>
      <c r="BB141" s="304"/>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4"/>
      <c r="BZ141" s="304"/>
      <c r="CA141" s="304"/>
      <c r="CB141" s="304"/>
      <c r="CC141" s="304"/>
      <c r="CD141" s="304"/>
      <c r="CE141" s="304"/>
      <c r="CF141" s="304"/>
      <c r="CG141" s="304"/>
      <c r="CH141" s="304"/>
      <c r="CI141" s="304"/>
      <c r="CJ141" s="304"/>
      <c r="CK141" s="304"/>
      <c r="CL141" s="304"/>
      <c r="CM141" s="304"/>
      <c r="CN141" s="304"/>
      <c r="CO141" s="304"/>
      <c r="CP141" s="304"/>
      <c r="CQ141" s="304"/>
      <c r="CR141" s="304"/>
      <c r="CS141" s="304"/>
      <c r="CT141" s="304"/>
      <c r="CU141" s="304"/>
      <c r="CV141" s="304"/>
    </row>
    <row r="142" spans="1:100" s="274" customFormat="1" ht="19.5" hidden="1" customHeight="1">
      <c r="A142" s="286" t="e">
        <f>#REF!</f>
        <v>#REF!</v>
      </c>
      <c r="B142" s="286"/>
      <c r="C142" s="286"/>
      <c r="D142" s="286"/>
      <c r="E142" s="286"/>
      <c r="F142" s="286"/>
      <c r="G142" s="286"/>
      <c r="H142" s="286"/>
      <c r="I142" s="295" t="e">
        <f>#REF!</f>
        <v>#REF!</v>
      </c>
      <c r="J142" s="915" t="e">
        <f>#REF!</f>
        <v>#REF!</v>
      </c>
      <c r="K142" s="915"/>
      <c r="L142" s="915"/>
      <c r="M142" s="915"/>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4"/>
      <c r="AZ142" s="304"/>
      <c r="BA142" s="304"/>
      <c r="BB142" s="304"/>
      <c r="BC142" s="304"/>
      <c r="BD142" s="304"/>
      <c r="BE142" s="304"/>
      <c r="BF142" s="304"/>
      <c r="BG142" s="304"/>
      <c r="BH142" s="304"/>
      <c r="BI142" s="304"/>
      <c r="BJ142" s="304"/>
      <c r="BK142" s="304"/>
      <c r="BL142" s="304"/>
      <c r="BM142" s="304"/>
      <c r="BN142" s="304"/>
      <c r="BO142" s="304"/>
      <c r="BP142" s="304"/>
      <c r="BQ142" s="304"/>
      <c r="BR142" s="304"/>
      <c r="BS142" s="304"/>
      <c r="BT142" s="304"/>
      <c r="BU142" s="304"/>
      <c r="BV142" s="304"/>
      <c r="BW142" s="304"/>
      <c r="BX142" s="304"/>
      <c r="BY142" s="304"/>
      <c r="BZ142" s="304"/>
      <c r="CA142" s="304"/>
      <c r="CB142" s="304"/>
      <c r="CC142" s="304"/>
      <c r="CD142" s="304"/>
      <c r="CE142" s="304"/>
      <c r="CF142" s="304"/>
      <c r="CG142" s="304"/>
      <c r="CH142" s="304"/>
      <c r="CI142" s="304"/>
      <c r="CJ142" s="304"/>
      <c r="CK142" s="304"/>
      <c r="CL142" s="304"/>
      <c r="CM142" s="304"/>
      <c r="CN142" s="304"/>
      <c r="CO142" s="304"/>
      <c r="CP142" s="304"/>
      <c r="CQ142" s="304"/>
      <c r="CR142" s="304"/>
      <c r="CS142" s="304"/>
      <c r="CT142" s="304"/>
      <c r="CU142" s="304"/>
      <c r="CV142" s="304"/>
    </row>
    <row r="143" spans="1:100" s="274" customFormat="1" ht="19.5" hidden="1" customHeight="1">
      <c r="A143" s="286" t="e">
        <f>#REF!</f>
        <v>#REF!</v>
      </c>
      <c r="B143" s="286"/>
      <c r="C143" s="286"/>
      <c r="D143" s="286"/>
      <c r="E143" s="286"/>
      <c r="F143" s="286"/>
      <c r="G143" s="286"/>
      <c r="H143" s="286"/>
      <c r="I143" s="295" t="e">
        <f>#REF!</f>
        <v>#REF!</v>
      </c>
      <c r="J143" s="915" t="e">
        <f>#REF!</f>
        <v>#REF!</v>
      </c>
      <c r="K143" s="915"/>
      <c r="L143" s="915"/>
      <c r="M143" s="915"/>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4"/>
      <c r="AR143" s="304"/>
      <c r="AS143" s="304"/>
      <c r="AT143" s="304"/>
      <c r="AU143" s="304"/>
      <c r="AV143" s="304"/>
      <c r="AW143" s="304"/>
      <c r="AX143" s="304"/>
      <c r="AY143" s="304"/>
      <c r="AZ143" s="304"/>
      <c r="BA143" s="304"/>
      <c r="BB143" s="304"/>
      <c r="BC143" s="304"/>
      <c r="BD143" s="304"/>
      <c r="BE143" s="304"/>
      <c r="BF143" s="304"/>
      <c r="BG143" s="304"/>
      <c r="BH143" s="304"/>
      <c r="BI143" s="304"/>
      <c r="BJ143" s="304"/>
      <c r="BK143" s="304"/>
      <c r="BL143" s="304"/>
      <c r="BM143" s="304"/>
      <c r="BN143" s="304"/>
      <c r="BO143" s="304"/>
      <c r="BP143" s="304"/>
      <c r="BQ143" s="304"/>
      <c r="BR143" s="304"/>
      <c r="BS143" s="304"/>
      <c r="BT143" s="304"/>
      <c r="BU143" s="304"/>
      <c r="BV143" s="304"/>
      <c r="BW143" s="304"/>
      <c r="BX143" s="304"/>
      <c r="BY143" s="304"/>
      <c r="BZ143" s="304"/>
      <c r="CA143" s="304"/>
      <c r="CB143" s="304"/>
      <c r="CC143" s="304"/>
      <c r="CD143" s="304"/>
      <c r="CE143" s="304"/>
      <c r="CF143" s="304"/>
      <c r="CG143" s="304"/>
      <c r="CH143" s="304"/>
      <c r="CI143" s="304"/>
      <c r="CJ143" s="304"/>
      <c r="CK143" s="304"/>
      <c r="CL143" s="304"/>
      <c r="CM143" s="304"/>
      <c r="CN143" s="304"/>
      <c r="CO143" s="304"/>
      <c r="CP143" s="304"/>
      <c r="CQ143" s="304"/>
      <c r="CR143" s="304"/>
      <c r="CS143" s="304"/>
      <c r="CT143" s="304"/>
      <c r="CU143" s="304"/>
      <c r="CV143" s="304"/>
    </row>
    <row r="144" spans="1:100" s="274" customFormat="1" ht="19.5" hidden="1" customHeight="1">
      <c r="A144" s="286" t="e">
        <f>#REF!</f>
        <v>#REF!</v>
      </c>
      <c r="B144" s="286"/>
      <c r="C144" s="286"/>
      <c r="D144" s="286"/>
      <c r="E144" s="286"/>
      <c r="F144" s="286"/>
      <c r="G144" s="286"/>
      <c r="H144" s="286"/>
      <c r="I144" s="295" t="e">
        <f>#REF!</f>
        <v>#REF!</v>
      </c>
      <c r="J144" s="915" t="e">
        <f>#REF!</f>
        <v>#REF!</v>
      </c>
      <c r="K144" s="915"/>
      <c r="L144" s="915"/>
      <c r="M144" s="915"/>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4"/>
      <c r="AZ144" s="304"/>
      <c r="BA144" s="304"/>
      <c r="BB144" s="304"/>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4"/>
      <c r="BZ144" s="304"/>
      <c r="CA144" s="304"/>
      <c r="CB144" s="304"/>
      <c r="CC144" s="304"/>
      <c r="CD144" s="304"/>
      <c r="CE144" s="304"/>
      <c r="CF144" s="304"/>
      <c r="CG144" s="304"/>
      <c r="CH144" s="304"/>
      <c r="CI144" s="304"/>
      <c r="CJ144" s="304"/>
      <c r="CK144" s="304"/>
      <c r="CL144" s="304"/>
      <c r="CM144" s="304"/>
      <c r="CN144" s="304"/>
      <c r="CO144" s="304"/>
      <c r="CP144" s="304"/>
      <c r="CQ144" s="304"/>
      <c r="CR144" s="304"/>
      <c r="CS144" s="304"/>
      <c r="CT144" s="304"/>
      <c r="CU144" s="304"/>
      <c r="CV144" s="304"/>
    </row>
    <row r="145" spans="1:100" s="274" customFormat="1" ht="19.5" hidden="1" customHeight="1">
      <c r="A145" s="296"/>
      <c r="B145" s="296"/>
      <c r="C145" s="296"/>
      <c r="D145" s="296"/>
      <c r="E145" s="296"/>
      <c r="F145" s="296"/>
      <c r="G145" s="296"/>
      <c r="H145" s="296"/>
      <c r="I145" s="285" t="e">
        <f>#REF!</f>
        <v>#REF!</v>
      </c>
      <c r="J145" s="915" t="e">
        <f>#REF!</f>
        <v>#REF!</v>
      </c>
      <c r="K145" s="915"/>
      <c r="L145" s="915"/>
      <c r="M145" s="915"/>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4"/>
      <c r="BZ145" s="304"/>
      <c r="CA145" s="304"/>
      <c r="CB145" s="304"/>
      <c r="CC145" s="304"/>
      <c r="CD145" s="304"/>
      <c r="CE145" s="304"/>
      <c r="CF145" s="304"/>
      <c r="CG145" s="304"/>
      <c r="CH145" s="304"/>
      <c r="CI145" s="304"/>
      <c r="CJ145" s="304"/>
      <c r="CK145" s="304"/>
      <c r="CL145" s="304"/>
      <c r="CM145" s="304"/>
      <c r="CN145" s="304"/>
      <c r="CO145" s="304"/>
      <c r="CP145" s="304"/>
      <c r="CQ145" s="304"/>
      <c r="CR145" s="304"/>
      <c r="CS145" s="304"/>
      <c r="CT145" s="304"/>
      <c r="CU145" s="304"/>
      <c r="CV145" s="304"/>
    </row>
    <row r="146" spans="1:100" s="274" customFormat="1" ht="19.5" hidden="1" customHeight="1">
      <c r="A146" s="289" t="e">
        <f>#REF!</f>
        <v>#REF!</v>
      </c>
      <c r="B146" s="289"/>
      <c r="C146" s="289"/>
      <c r="D146" s="289"/>
      <c r="E146" s="289"/>
      <c r="F146" s="289"/>
      <c r="G146" s="289"/>
      <c r="H146" s="289"/>
      <c r="I146" s="285" t="e">
        <f>#REF!</f>
        <v>#REF!</v>
      </c>
      <c r="J146" s="915"/>
      <c r="K146" s="915"/>
      <c r="L146" s="915"/>
      <c r="M146" s="915"/>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c r="BG146" s="304"/>
      <c r="BH146" s="304"/>
      <c r="BI146" s="304"/>
      <c r="BJ146" s="304"/>
      <c r="BK146" s="304"/>
      <c r="BL146" s="304"/>
      <c r="BM146" s="304"/>
      <c r="BN146" s="304"/>
      <c r="BO146" s="304"/>
      <c r="BP146" s="304"/>
      <c r="BQ146" s="304"/>
      <c r="BR146" s="304"/>
      <c r="BS146" s="304"/>
      <c r="BT146" s="304"/>
      <c r="BU146" s="304"/>
      <c r="BV146" s="304"/>
      <c r="BW146" s="304"/>
      <c r="BX146" s="304"/>
      <c r="BY146" s="304"/>
      <c r="BZ146" s="304"/>
      <c r="CA146" s="304"/>
      <c r="CB146" s="304"/>
      <c r="CC146" s="304"/>
      <c r="CD146" s="304"/>
      <c r="CE146" s="304"/>
      <c r="CF146" s="304"/>
      <c r="CG146" s="304"/>
      <c r="CH146" s="304"/>
      <c r="CI146" s="304"/>
      <c r="CJ146" s="304"/>
      <c r="CK146" s="304"/>
      <c r="CL146" s="304"/>
      <c r="CM146" s="304"/>
      <c r="CN146" s="304"/>
      <c r="CO146" s="304"/>
      <c r="CP146" s="304"/>
      <c r="CQ146" s="304"/>
      <c r="CR146" s="304"/>
      <c r="CS146" s="304"/>
      <c r="CT146" s="304"/>
      <c r="CU146" s="304"/>
      <c r="CV146" s="304"/>
    </row>
    <row r="147" spans="1:100" s="274" customFormat="1" ht="19.5" hidden="1" customHeight="1">
      <c r="A147" s="286" t="e">
        <f>#REF!</f>
        <v>#REF!</v>
      </c>
      <c r="B147" s="286"/>
      <c r="C147" s="286"/>
      <c r="D147" s="286"/>
      <c r="E147" s="286"/>
      <c r="F147" s="286"/>
      <c r="G147" s="286"/>
      <c r="H147" s="286"/>
      <c r="I147" s="287" t="e">
        <f>#REF!</f>
        <v>#REF!</v>
      </c>
      <c r="J147" s="915" t="e">
        <f>#REF!</f>
        <v>#REF!</v>
      </c>
      <c r="K147" s="915"/>
      <c r="L147" s="915"/>
      <c r="M147" s="915"/>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c r="AR147" s="304"/>
      <c r="AS147" s="304"/>
      <c r="AT147" s="304"/>
      <c r="AU147" s="304"/>
      <c r="AV147" s="304"/>
      <c r="AW147" s="304"/>
      <c r="AX147" s="304"/>
      <c r="AY147" s="304"/>
      <c r="AZ147" s="304"/>
      <c r="BA147" s="304"/>
      <c r="BB147" s="304"/>
      <c r="BC147" s="304"/>
      <c r="BD147" s="304"/>
      <c r="BE147" s="304"/>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4"/>
      <c r="CE147" s="304"/>
      <c r="CF147" s="304"/>
      <c r="CG147" s="304"/>
      <c r="CH147" s="304"/>
      <c r="CI147" s="304"/>
      <c r="CJ147" s="304"/>
      <c r="CK147" s="304"/>
      <c r="CL147" s="304"/>
      <c r="CM147" s="304"/>
      <c r="CN147" s="304"/>
      <c r="CO147" s="304"/>
      <c r="CP147" s="304"/>
      <c r="CQ147" s="304"/>
      <c r="CR147" s="304"/>
      <c r="CS147" s="304"/>
      <c r="CT147" s="304"/>
      <c r="CU147" s="304"/>
      <c r="CV147" s="304"/>
    </row>
    <row r="148" spans="1:100" s="274" customFormat="1" ht="19.5" hidden="1" customHeight="1">
      <c r="A148" s="286" t="e">
        <f>#REF!</f>
        <v>#REF!</v>
      </c>
      <c r="B148" s="286"/>
      <c r="C148" s="286"/>
      <c r="D148" s="286"/>
      <c r="E148" s="286"/>
      <c r="F148" s="286"/>
      <c r="G148" s="286"/>
      <c r="H148" s="286"/>
      <c r="I148" s="287" t="e">
        <f>#REF!</f>
        <v>#REF!</v>
      </c>
      <c r="J148" s="915" t="e">
        <f>#REF!</f>
        <v>#REF!</v>
      </c>
      <c r="K148" s="915"/>
      <c r="L148" s="915"/>
      <c r="M148" s="915"/>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304"/>
      <c r="BP148" s="304"/>
      <c r="BQ148" s="304"/>
      <c r="BR148" s="304"/>
      <c r="BS148" s="304"/>
      <c r="BT148" s="304"/>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row>
    <row r="149" spans="1:100" s="274" customFormat="1" ht="19.5" hidden="1" customHeight="1">
      <c r="A149" s="286" t="e">
        <f>#REF!</f>
        <v>#REF!</v>
      </c>
      <c r="B149" s="286"/>
      <c r="C149" s="286"/>
      <c r="D149" s="286"/>
      <c r="E149" s="286"/>
      <c r="F149" s="286"/>
      <c r="G149" s="286"/>
      <c r="H149" s="286"/>
      <c r="I149" s="287" t="e">
        <f>#REF!</f>
        <v>#REF!</v>
      </c>
      <c r="J149" s="915" t="e">
        <f>#REF!</f>
        <v>#REF!</v>
      </c>
      <c r="K149" s="915"/>
      <c r="L149" s="915"/>
      <c r="M149" s="915"/>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c r="AR149" s="304"/>
      <c r="AS149" s="304"/>
      <c r="AT149" s="304"/>
      <c r="AU149" s="304"/>
      <c r="AV149" s="304"/>
      <c r="AW149" s="304"/>
      <c r="AX149" s="304"/>
      <c r="AY149" s="304"/>
      <c r="AZ149" s="304"/>
      <c r="BA149" s="304"/>
      <c r="BB149" s="304"/>
      <c r="BC149" s="304"/>
      <c r="BD149" s="304"/>
      <c r="BE149" s="304"/>
      <c r="BF149" s="304"/>
      <c r="BG149" s="304"/>
      <c r="BH149" s="304"/>
      <c r="BI149" s="304"/>
      <c r="BJ149" s="304"/>
      <c r="BK149" s="304"/>
      <c r="BL149" s="304"/>
      <c r="BM149" s="304"/>
      <c r="BN149" s="304"/>
      <c r="BO149" s="304"/>
      <c r="BP149" s="304"/>
      <c r="BQ149" s="304"/>
      <c r="BR149" s="304"/>
      <c r="BS149" s="304"/>
      <c r="BT149" s="304"/>
      <c r="BU149" s="304"/>
      <c r="BV149" s="304"/>
      <c r="BW149" s="304"/>
      <c r="BX149" s="304"/>
      <c r="BY149" s="304"/>
      <c r="BZ149" s="304"/>
      <c r="CA149" s="304"/>
      <c r="CB149" s="304"/>
      <c r="CC149" s="304"/>
      <c r="CD149" s="304"/>
      <c r="CE149" s="304"/>
      <c r="CF149" s="304"/>
      <c r="CG149" s="304"/>
      <c r="CH149" s="304"/>
      <c r="CI149" s="304"/>
      <c r="CJ149" s="304"/>
      <c r="CK149" s="304"/>
      <c r="CL149" s="304"/>
      <c r="CM149" s="304"/>
      <c r="CN149" s="304"/>
      <c r="CO149" s="304"/>
      <c r="CP149" s="304"/>
      <c r="CQ149" s="304"/>
      <c r="CR149" s="304"/>
      <c r="CS149" s="304"/>
      <c r="CT149" s="304"/>
      <c r="CU149" s="304"/>
      <c r="CV149" s="304"/>
    </row>
    <row r="150" spans="1:100" s="274" customFormat="1" ht="19.5" hidden="1" customHeight="1">
      <c r="A150" s="296"/>
      <c r="B150" s="296"/>
      <c r="C150" s="296"/>
      <c r="D150" s="296"/>
      <c r="E150" s="296"/>
      <c r="F150" s="296"/>
      <c r="G150" s="296"/>
      <c r="H150" s="296"/>
      <c r="I150" s="285" t="e">
        <f>#REF!</f>
        <v>#REF!</v>
      </c>
      <c r="J150" s="915" t="e">
        <f>#REF!</f>
        <v>#REF!</v>
      </c>
      <c r="K150" s="915"/>
      <c r="L150" s="915"/>
      <c r="M150" s="915"/>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row>
    <row r="151" spans="1:100" s="274" customFormat="1" ht="33" hidden="1" customHeight="1">
      <c r="A151" s="289" t="e">
        <f>#REF!</f>
        <v>#REF!</v>
      </c>
      <c r="B151" s="289"/>
      <c r="C151" s="289"/>
      <c r="D151" s="289"/>
      <c r="E151" s="289"/>
      <c r="F151" s="289"/>
      <c r="G151" s="289"/>
      <c r="H151" s="289"/>
      <c r="I151" s="285" t="e">
        <f>#REF!</f>
        <v>#REF!</v>
      </c>
      <c r="J151" s="915"/>
      <c r="K151" s="915"/>
      <c r="L151" s="915"/>
      <c r="M151" s="915"/>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4"/>
      <c r="AR151" s="304"/>
      <c r="AS151" s="304"/>
      <c r="AT151" s="304"/>
      <c r="AU151" s="304"/>
      <c r="AV151" s="304"/>
      <c r="AW151" s="304"/>
      <c r="AX151" s="304"/>
      <c r="AY151" s="304"/>
      <c r="AZ151" s="304"/>
      <c r="BA151" s="304"/>
      <c r="BB151" s="304"/>
      <c r="BC151" s="304"/>
      <c r="BD151" s="304"/>
      <c r="BE151" s="304"/>
      <c r="BF151" s="304"/>
      <c r="BG151" s="304"/>
      <c r="BH151" s="304"/>
      <c r="BI151" s="304"/>
      <c r="BJ151" s="304"/>
      <c r="BK151" s="304"/>
      <c r="BL151" s="304"/>
      <c r="BM151" s="304"/>
      <c r="BN151" s="304"/>
      <c r="BO151" s="304"/>
      <c r="BP151" s="304"/>
      <c r="BQ151" s="304"/>
      <c r="BR151" s="304"/>
      <c r="BS151" s="304"/>
      <c r="BT151" s="304"/>
      <c r="BU151" s="304"/>
      <c r="BV151" s="304"/>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row>
    <row r="152" spans="1:100" s="274" customFormat="1" ht="19.5" hidden="1" customHeight="1">
      <c r="A152" s="296" t="e">
        <f>#REF!</f>
        <v>#REF!</v>
      </c>
      <c r="B152" s="296"/>
      <c r="C152" s="296"/>
      <c r="D152" s="296"/>
      <c r="E152" s="296"/>
      <c r="F152" s="296"/>
      <c r="G152" s="296"/>
      <c r="H152" s="296"/>
      <c r="I152" s="287" t="e">
        <f>#REF!</f>
        <v>#REF!</v>
      </c>
      <c r="J152" s="915" t="e">
        <f>#REF!</f>
        <v>#REF!</v>
      </c>
      <c r="K152" s="915"/>
      <c r="L152" s="915"/>
      <c r="M152" s="915"/>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304"/>
      <c r="BX152" s="304"/>
      <c r="BY152" s="304"/>
      <c r="BZ152" s="304"/>
      <c r="CA152" s="304"/>
      <c r="CB152" s="304"/>
      <c r="CC152" s="304"/>
      <c r="CD152" s="304"/>
      <c r="CE152" s="304"/>
      <c r="CF152" s="304"/>
      <c r="CG152" s="304"/>
      <c r="CH152" s="304"/>
      <c r="CI152" s="304"/>
      <c r="CJ152" s="304"/>
      <c r="CK152" s="304"/>
      <c r="CL152" s="304"/>
      <c r="CM152" s="304"/>
      <c r="CN152" s="304"/>
      <c r="CO152" s="304"/>
      <c r="CP152" s="304"/>
      <c r="CQ152" s="304"/>
      <c r="CR152" s="304"/>
      <c r="CS152" s="304"/>
      <c r="CT152" s="304"/>
      <c r="CU152" s="304"/>
      <c r="CV152" s="304"/>
    </row>
    <row r="153" spans="1:100" s="274" customFormat="1" ht="19.5" hidden="1" customHeight="1">
      <c r="A153" s="296" t="e">
        <f>#REF!</f>
        <v>#REF!</v>
      </c>
      <c r="B153" s="296"/>
      <c r="C153" s="296"/>
      <c r="D153" s="296"/>
      <c r="E153" s="296"/>
      <c r="F153" s="296"/>
      <c r="G153" s="296"/>
      <c r="H153" s="296"/>
      <c r="I153" s="287" t="e">
        <f>#REF!</f>
        <v>#REF!</v>
      </c>
      <c r="J153" s="915" t="e">
        <f>#REF!</f>
        <v>#REF!</v>
      </c>
      <c r="K153" s="915"/>
      <c r="L153" s="915"/>
      <c r="M153" s="915"/>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c r="AR153" s="304"/>
      <c r="AS153" s="30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4"/>
      <c r="BZ153" s="304"/>
      <c r="CA153" s="304"/>
      <c r="CB153" s="304"/>
      <c r="CC153" s="304"/>
      <c r="CD153" s="304"/>
      <c r="CE153" s="304"/>
      <c r="CF153" s="304"/>
      <c r="CG153" s="304"/>
      <c r="CH153" s="304"/>
      <c r="CI153" s="304"/>
      <c r="CJ153" s="304"/>
      <c r="CK153" s="304"/>
      <c r="CL153" s="304"/>
      <c r="CM153" s="304"/>
      <c r="CN153" s="304"/>
      <c r="CO153" s="304"/>
      <c r="CP153" s="304"/>
      <c r="CQ153" s="304"/>
      <c r="CR153" s="304"/>
      <c r="CS153" s="304"/>
      <c r="CT153" s="304"/>
      <c r="CU153" s="304"/>
      <c r="CV153" s="304"/>
    </row>
    <row r="154" spans="1:100" s="274" customFormat="1" ht="19.5" hidden="1" customHeight="1">
      <c r="A154" s="296" t="e">
        <f>#REF!</f>
        <v>#REF!</v>
      </c>
      <c r="B154" s="296"/>
      <c r="C154" s="296"/>
      <c r="D154" s="296"/>
      <c r="E154" s="296"/>
      <c r="F154" s="296"/>
      <c r="G154" s="296"/>
      <c r="H154" s="296"/>
      <c r="I154" s="287" t="e">
        <f>#REF!</f>
        <v>#REF!</v>
      </c>
      <c r="J154" s="915" t="e">
        <f>#REF!</f>
        <v>#REF!</v>
      </c>
      <c r="K154" s="915"/>
      <c r="L154" s="915"/>
      <c r="M154" s="915"/>
      <c r="N154" s="304"/>
      <c r="O154" s="304"/>
      <c r="P154" s="304"/>
      <c r="Q154" s="304"/>
      <c r="R154" s="304"/>
      <c r="S154" s="304"/>
      <c r="T154" s="304"/>
      <c r="U154" s="304"/>
      <c r="V154" s="304"/>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4"/>
      <c r="AR154" s="304"/>
      <c r="AS154" s="30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304"/>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row>
    <row r="155" spans="1:100" s="274" customFormat="1" ht="19.5" hidden="1" customHeight="1">
      <c r="A155" s="296"/>
      <c r="B155" s="296"/>
      <c r="C155" s="296"/>
      <c r="D155" s="296"/>
      <c r="E155" s="296"/>
      <c r="F155" s="296"/>
      <c r="G155" s="296"/>
      <c r="H155" s="296"/>
      <c r="I155" s="285" t="e">
        <f>#REF!</f>
        <v>#REF!</v>
      </c>
      <c r="J155" s="915" t="e">
        <f>#REF!</f>
        <v>#REF!</v>
      </c>
      <c r="K155" s="915"/>
      <c r="L155" s="915"/>
      <c r="M155" s="915"/>
      <c r="N155" s="304"/>
      <c r="O155" s="304"/>
      <c r="P155" s="304"/>
      <c r="Q155" s="304"/>
      <c r="R155" s="304"/>
      <c r="S155" s="304"/>
      <c r="T155" s="304"/>
      <c r="U155" s="304"/>
      <c r="V155" s="304"/>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4"/>
      <c r="AR155" s="304"/>
      <c r="AS155" s="30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row>
    <row r="156" spans="1:100" s="274" customFormat="1" ht="19.5" hidden="1" customHeight="1">
      <c r="A156" s="289" t="e">
        <f>#REF!</f>
        <v>#REF!</v>
      </c>
      <c r="B156" s="289"/>
      <c r="C156" s="289"/>
      <c r="D156" s="289"/>
      <c r="E156" s="289"/>
      <c r="F156" s="289"/>
      <c r="G156" s="289"/>
      <c r="H156" s="289"/>
      <c r="I156" s="285" t="e">
        <f>#REF!</f>
        <v>#REF!</v>
      </c>
      <c r="J156" s="915"/>
      <c r="K156" s="915"/>
      <c r="L156" s="915"/>
      <c r="M156" s="915"/>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4"/>
      <c r="AR156" s="304"/>
      <c r="AS156" s="30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4"/>
      <c r="BZ156" s="304"/>
      <c r="CA156" s="304"/>
      <c r="CB156" s="304"/>
      <c r="CC156" s="304"/>
      <c r="CD156" s="304"/>
      <c r="CE156" s="304"/>
      <c r="CF156" s="304"/>
      <c r="CG156" s="304"/>
      <c r="CH156" s="304"/>
      <c r="CI156" s="304"/>
      <c r="CJ156" s="304"/>
      <c r="CK156" s="304"/>
      <c r="CL156" s="304"/>
      <c r="CM156" s="304"/>
      <c r="CN156" s="304"/>
      <c r="CO156" s="304"/>
      <c r="CP156" s="304"/>
      <c r="CQ156" s="304"/>
      <c r="CR156" s="304"/>
      <c r="CS156" s="304"/>
      <c r="CT156" s="304"/>
      <c r="CU156" s="304"/>
      <c r="CV156" s="304"/>
    </row>
    <row r="157" spans="1:100" s="274" customFormat="1" ht="19.5" hidden="1" customHeight="1">
      <c r="A157" s="286" t="e">
        <f>#REF!</f>
        <v>#REF!</v>
      </c>
      <c r="B157" s="286"/>
      <c r="C157" s="286"/>
      <c r="D157" s="286"/>
      <c r="E157" s="286"/>
      <c r="F157" s="286"/>
      <c r="G157" s="286"/>
      <c r="H157" s="286"/>
      <c r="I157" s="287" t="e">
        <f>#REF!</f>
        <v>#REF!</v>
      </c>
      <c r="J157" s="915" t="e">
        <f>#REF!</f>
        <v>#REF!</v>
      </c>
      <c r="K157" s="915"/>
      <c r="L157" s="915"/>
      <c r="M157" s="915"/>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4"/>
      <c r="AR157" s="304"/>
      <c r="AS157" s="304"/>
      <c r="AT157" s="304"/>
      <c r="AU157" s="304"/>
      <c r="AV157" s="304"/>
      <c r="AW157" s="304"/>
      <c r="AX157" s="304"/>
      <c r="AY157" s="304"/>
      <c r="AZ157" s="304"/>
      <c r="BA157" s="304"/>
      <c r="BB157" s="304"/>
      <c r="BC157" s="304"/>
      <c r="BD157" s="304"/>
      <c r="BE157" s="304"/>
      <c r="BF157" s="304"/>
      <c r="BG157" s="304"/>
      <c r="BH157" s="304"/>
      <c r="BI157" s="304"/>
      <c r="BJ157" s="304"/>
      <c r="BK157" s="304"/>
      <c r="BL157" s="304"/>
      <c r="BM157" s="304"/>
      <c r="BN157" s="304"/>
      <c r="BO157" s="304"/>
      <c r="BP157" s="304"/>
      <c r="BQ157" s="304"/>
      <c r="BR157" s="304"/>
      <c r="BS157" s="304"/>
      <c r="BT157" s="304"/>
      <c r="BU157" s="304"/>
      <c r="BV157" s="304"/>
      <c r="BW157" s="304"/>
      <c r="BX157" s="304"/>
      <c r="BY157" s="304"/>
      <c r="BZ157" s="304"/>
      <c r="CA157" s="304"/>
      <c r="CB157" s="304"/>
      <c r="CC157" s="304"/>
      <c r="CD157" s="304"/>
      <c r="CE157" s="304"/>
      <c r="CF157" s="304"/>
      <c r="CG157" s="304"/>
      <c r="CH157" s="304"/>
      <c r="CI157" s="304"/>
      <c r="CJ157" s="304"/>
      <c r="CK157" s="304"/>
      <c r="CL157" s="304"/>
      <c r="CM157" s="304"/>
      <c r="CN157" s="304"/>
      <c r="CO157" s="304"/>
      <c r="CP157" s="304"/>
      <c r="CQ157" s="304"/>
      <c r="CR157" s="304"/>
      <c r="CS157" s="304"/>
      <c r="CT157" s="304"/>
      <c r="CU157" s="304"/>
      <c r="CV157" s="304"/>
    </row>
    <row r="158" spans="1:100" s="274" customFormat="1" ht="19.5" hidden="1" customHeight="1">
      <c r="A158" s="286" t="e">
        <f>#REF!</f>
        <v>#REF!</v>
      </c>
      <c r="B158" s="286"/>
      <c r="C158" s="286"/>
      <c r="D158" s="286"/>
      <c r="E158" s="286"/>
      <c r="F158" s="286"/>
      <c r="G158" s="286"/>
      <c r="H158" s="286"/>
      <c r="I158" s="287" t="e">
        <f>#REF!</f>
        <v>#REF!</v>
      </c>
      <c r="J158" s="915" t="e">
        <f>#REF!</f>
        <v>#REF!</v>
      </c>
      <c r="K158" s="915"/>
      <c r="L158" s="915"/>
      <c r="M158" s="915"/>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4"/>
      <c r="AR158" s="304"/>
      <c r="AS158" s="304"/>
      <c r="AT158" s="304"/>
      <c r="AU158" s="304"/>
      <c r="AV158" s="304"/>
      <c r="AW158" s="304"/>
      <c r="AX158" s="304"/>
      <c r="AY158" s="304"/>
      <c r="AZ158" s="304"/>
      <c r="BA158" s="304"/>
      <c r="BB158" s="304"/>
      <c r="BC158" s="304"/>
      <c r="BD158" s="304"/>
      <c r="BE158" s="304"/>
      <c r="BF158" s="304"/>
      <c r="BG158" s="304"/>
      <c r="BH158" s="304"/>
      <c r="BI158" s="304"/>
      <c r="BJ158" s="304"/>
      <c r="BK158" s="304"/>
      <c r="BL158" s="304"/>
      <c r="BM158" s="304"/>
      <c r="BN158" s="304"/>
      <c r="BO158" s="304"/>
      <c r="BP158" s="304"/>
      <c r="BQ158" s="304"/>
      <c r="BR158" s="304"/>
      <c r="BS158" s="304"/>
      <c r="BT158" s="304"/>
      <c r="BU158" s="304"/>
      <c r="BV158" s="304"/>
      <c r="BW158" s="304"/>
      <c r="BX158" s="304"/>
      <c r="BY158" s="304"/>
      <c r="BZ158" s="304"/>
      <c r="CA158" s="304"/>
      <c r="CB158" s="304"/>
      <c r="CC158" s="304"/>
      <c r="CD158" s="304"/>
      <c r="CE158" s="304"/>
      <c r="CF158" s="304"/>
      <c r="CG158" s="304"/>
      <c r="CH158" s="304"/>
      <c r="CI158" s="304"/>
      <c r="CJ158" s="304"/>
      <c r="CK158" s="304"/>
      <c r="CL158" s="304"/>
      <c r="CM158" s="304"/>
      <c r="CN158" s="304"/>
      <c r="CO158" s="304"/>
      <c r="CP158" s="304"/>
      <c r="CQ158" s="304"/>
      <c r="CR158" s="304"/>
      <c r="CS158" s="304"/>
      <c r="CT158" s="304"/>
      <c r="CU158" s="304"/>
      <c r="CV158" s="304"/>
    </row>
    <row r="159" spans="1:100" s="274" customFormat="1" ht="19.5" hidden="1" customHeight="1">
      <c r="A159" s="296"/>
      <c r="B159" s="296"/>
      <c r="C159" s="296"/>
      <c r="D159" s="296"/>
      <c r="E159" s="296"/>
      <c r="F159" s="296"/>
      <c r="G159" s="296"/>
      <c r="H159" s="296"/>
      <c r="I159" s="285" t="e">
        <f>#REF!</f>
        <v>#REF!</v>
      </c>
      <c r="J159" s="915" t="e">
        <f>#REF!</f>
        <v>#REF!</v>
      </c>
      <c r="K159" s="915"/>
      <c r="L159" s="915"/>
      <c r="M159" s="915"/>
      <c r="N159" s="304"/>
      <c r="O159" s="304"/>
      <c r="P159" s="304"/>
      <c r="Q159" s="304"/>
      <c r="R159" s="304"/>
      <c r="S159" s="304"/>
      <c r="T159" s="304"/>
      <c r="U159" s="304"/>
      <c r="V159" s="304"/>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4"/>
      <c r="AR159" s="304"/>
      <c r="AS159" s="304"/>
      <c r="AT159" s="304"/>
      <c r="AU159" s="304"/>
      <c r="AV159" s="304"/>
      <c r="AW159" s="304"/>
      <c r="AX159" s="304"/>
      <c r="AY159" s="304"/>
      <c r="AZ159" s="304"/>
      <c r="BA159" s="304"/>
      <c r="BB159" s="304"/>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4"/>
      <c r="BZ159" s="304"/>
      <c r="CA159" s="304"/>
      <c r="CB159" s="304"/>
      <c r="CC159" s="304"/>
      <c r="CD159" s="304"/>
      <c r="CE159" s="304"/>
      <c r="CF159" s="304"/>
      <c r="CG159" s="304"/>
      <c r="CH159" s="304"/>
      <c r="CI159" s="304"/>
      <c r="CJ159" s="304"/>
      <c r="CK159" s="304"/>
      <c r="CL159" s="304"/>
      <c r="CM159" s="304"/>
      <c r="CN159" s="304"/>
      <c r="CO159" s="304"/>
      <c r="CP159" s="304"/>
      <c r="CQ159" s="304"/>
      <c r="CR159" s="304"/>
      <c r="CS159" s="304"/>
      <c r="CT159" s="304"/>
      <c r="CU159" s="304"/>
      <c r="CV159" s="304"/>
    </row>
    <row r="160" spans="1:100" s="274" customFormat="1" ht="33" hidden="1" customHeight="1">
      <c r="A160" s="289" t="e">
        <f>#REF!</f>
        <v>#REF!</v>
      </c>
      <c r="B160" s="289"/>
      <c r="C160" s="289"/>
      <c r="D160" s="289"/>
      <c r="E160" s="289"/>
      <c r="F160" s="289"/>
      <c r="G160" s="289"/>
      <c r="H160" s="289"/>
      <c r="I160" s="285" t="e">
        <f>#REF!</f>
        <v>#REF!</v>
      </c>
      <c r="J160" s="915"/>
      <c r="K160" s="915"/>
      <c r="L160" s="915"/>
      <c r="M160" s="915"/>
      <c r="N160" s="304"/>
      <c r="O160" s="304"/>
      <c r="P160" s="304"/>
      <c r="Q160" s="304"/>
      <c r="R160" s="304"/>
      <c r="S160" s="304"/>
      <c r="T160" s="304"/>
      <c r="U160" s="304"/>
      <c r="V160" s="304"/>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4"/>
      <c r="AR160" s="304"/>
      <c r="AS160" s="304"/>
      <c r="AT160" s="304"/>
      <c r="AU160" s="304"/>
      <c r="AV160" s="304"/>
      <c r="AW160" s="304"/>
      <c r="AX160" s="304"/>
      <c r="AY160" s="304"/>
      <c r="AZ160" s="304"/>
      <c r="BA160" s="304"/>
      <c r="BB160" s="304"/>
      <c r="BC160" s="304"/>
      <c r="BD160" s="304"/>
      <c r="BE160" s="304"/>
      <c r="BF160" s="304"/>
      <c r="BG160" s="304"/>
      <c r="BH160" s="304"/>
      <c r="BI160" s="304"/>
      <c r="BJ160" s="304"/>
      <c r="BK160" s="304"/>
      <c r="BL160" s="304"/>
      <c r="BM160" s="304"/>
      <c r="BN160" s="304"/>
      <c r="BO160" s="304"/>
      <c r="BP160" s="304"/>
      <c r="BQ160" s="304"/>
      <c r="BR160" s="304"/>
      <c r="BS160" s="304"/>
      <c r="BT160" s="304"/>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row>
    <row r="161" spans="1:100" s="274" customFormat="1" ht="19.5" hidden="1" customHeight="1">
      <c r="A161" s="286" t="e">
        <f>#REF!</f>
        <v>#REF!</v>
      </c>
      <c r="B161" s="286"/>
      <c r="C161" s="286"/>
      <c r="D161" s="286"/>
      <c r="E161" s="286"/>
      <c r="F161" s="286"/>
      <c r="G161" s="286"/>
      <c r="H161" s="286"/>
      <c r="I161" s="287" t="e">
        <f>#REF!</f>
        <v>#REF!</v>
      </c>
      <c r="J161" s="915" t="e">
        <f>#REF!</f>
        <v>#REF!</v>
      </c>
      <c r="K161" s="915"/>
      <c r="L161" s="915"/>
      <c r="M161" s="915"/>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4"/>
      <c r="AR161" s="304"/>
      <c r="AS161" s="304"/>
      <c r="AT161" s="304"/>
      <c r="AU161" s="304"/>
      <c r="AV161" s="304"/>
      <c r="AW161" s="304"/>
      <c r="AX161" s="304"/>
      <c r="AY161" s="304"/>
      <c r="AZ161" s="304"/>
      <c r="BA161" s="304"/>
      <c r="BB161" s="304"/>
      <c r="BC161" s="304"/>
      <c r="BD161" s="304"/>
      <c r="BE161" s="304"/>
      <c r="BF161" s="304"/>
      <c r="BG161" s="304"/>
      <c r="BH161" s="304"/>
      <c r="BI161" s="304"/>
      <c r="BJ161" s="304"/>
      <c r="BK161" s="304"/>
      <c r="BL161" s="304"/>
      <c r="BM161" s="304"/>
      <c r="BN161" s="304"/>
      <c r="BO161" s="304"/>
      <c r="BP161" s="304"/>
      <c r="BQ161" s="304"/>
      <c r="BR161" s="304"/>
      <c r="BS161" s="304"/>
      <c r="BT161" s="304"/>
      <c r="BU161" s="304"/>
      <c r="BV161" s="304"/>
      <c r="BW161" s="304"/>
      <c r="BX161" s="304"/>
      <c r="BY161" s="304"/>
      <c r="BZ161" s="304"/>
      <c r="CA161" s="304"/>
      <c r="CB161" s="304"/>
      <c r="CC161" s="304"/>
      <c r="CD161" s="304"/>
      <c r="CE161" s="304"/>
      <c r="CF161" s="304"/>
      <c r="CG161" s="304"/>
      <c r="CH161" s="304"/>
      <c r="CI161" s="304"/>
      <c r="CJ161" s="304"/>
      <c r="CK161" s="304"/>
      <c r="CL161" s="304"/>
      <c r="CM161" s="304"/>
      <c r="CN161" s="304"/>
      <c r="CO161" s="304"/>
      <c r="CP161" s="304"/>
      <c r="CQ161" s="304"/>
      <c r="CR161" s="304"/>
      <c r="CS161" s="304"/>
      <c r="CT161" s="304"/>
      <c r="CU161" s="304"/>
      <c r="CV161" s="304"/>
    </row>
    <row r="162" spans="1:100" s="274" customFormat="1" ht="19.5" hidden="1" customHeight="1">
      <c r="A162" s="286" t="e">
        <f>#REF!</f>
        <v>#REF!</v>
      </c>
      <c r="B162" s="286"/>
      <c r="C162" s="286"/>
      <c r="D162" s="286"/>
      <c r="E162" s="286"/>
      <c r="F162" s="286"/>
      <c r="G162" s="286"/>
      <c r="H162" s="286"/>
      <c r="I162" s="287" t="e">
        <f>#REF!</f>
        <v>#REF!</v>
      </c>
      <c r="J162" s="915" t="e">
        <f>#REF!</f>
        <v>#REF!</v>
      </c>
      <c r="K162" s="915"/>
      <c r="L162" s="915"/>
      <c r="M162" s="915"/>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row>
    <row r="163" spans="1:100" s="274" customFormat="1" ht="19.5" hidden="1" customHeight="1">
      <c r="A163" s="286" t="e">
        <f>#REF!</f>
        <v>#REF!</v>
      </c>
      <c r="B163" s="286"/>
      <c r="C163" s="286"/>
      <c r="D163" s="286"/>
      <c r="E163" s="286"/>
      <c r="F163" s="286"/>
      <c r="G163" s="286"/>
      <c r="H163" s="286"/>
      <c r="I163" s="287" t="e">
        <f>#REF!</f>
        <v>#REF!</v>
      </c>
      <c r="J163" s="915" t="e">
        <f>#REF!</f>
        <v>#REF!</v>
      </c>
      <c r="K163" s="915"/>
      <c r="L163" s="915"/>
      <c r="M163" s="915"/>
      <c r="N163" s="304"/>
      <c r="O163" s="304"/>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4"/>
      <c r="AZ163" s="304"/>
      <c r="BA163" s="304"/>
      <c r="BB163" s="304"/>
      <c r="BC163" s="304"/>
      <c r="BD163" s="304"/>
      <c r="BE163" s="304"/>
      <c r="BF163" s="304"/>
      <c r="BG163" s="304"/>
      <c r="BH163" s="304"/>
      <c r="BI163" s="304"/>
      <c r="BJ163" s="304"/>
      <c r="BK163" s="304"/>
      <c r="BL163" s="304"/>
      <c r="BM163" s="304"/>
      <c r="BN163" s="304"/>
      <c r="BO163" s="304"/>
      <c r="BP163" s="304"/>
      <c r="BQ163" s="304"/>
      <c r="BR163" s="304"/>
      <c r="BS163" s="304"/>
      <c r="BT163" s="304"/>
      <c r="BU163" s="304"/>
      <c r="BV163" s="304"/>
      <c r="BW163" s="304"/>
      <c r="BX163" s="304"/>
      <c r="BY163" s="304"/>
      <c r="BZ163" s="304"/>
      <c r="CA163" s="304"/>
      <c r="CB163" s="304"/>
      <c r="CC163" s="304"/>
      <c r="CD163" s="304"/>
      <c r="CE163" s="304"/>
      <c r="CF163" s="304"/>
      <c r="CG163" s="304"/>
      <c r="CH163" s="304"/>
      <c r="CI163" s="304"/>
      <c r="CJ163" s="304"/>
      <c r="CK163" s="304"/>
      <c r="CL163" s="304"/>
      <c r="CM163" s="304"/>
      <c r="CN163" s="304"/>
      <c r="CO163" s="304"/>
      <c r="CP163" s="304"/>
      <c r="CQ163" s="304"/>
      <c r="CR163" s="304"/>
      <c r="CS163" s="304"/>
      <c r="CT163" s="304"/>
      <c r="CU163" s="304"/>
      <c r="CV163" s="304"/>
    </row>
    <row r="164" spans="1:100" s="274" customFormat="1" ht="19.5" hidden="1" customHeight="1">
      <c r="A164" s="286" t="e">
        <f>#REF!</f>
        <v>#REF!</v>
      </c>
      <c r="B164" s="286"/>
      <c r="C164" s="286"/>
      <c r="D164" s="286"/>
      <c r="E164" s="286"/>
      <c r="F164" s="286"/>
      <c r="G164" s="286"/>
      <c r="H164" s="286"/>
      <c r="I164" s="287" t="e">
        <f>#REF!</f>
        <v>#REF!</v>
      </c>
      <c r="J164" s="915" t="e">
        <f>#REF!</f>
        <v>#REF!</v>
      </c>
      <c r="K164" s="915"/>
      <c r="L164" s="915"/>
      <c r="M164" s="915"/>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c r="AK164" s="304"/>
      <c r="AL164" s="304"/>
      <c r="AM164" s="304"/>
      <c r="AN164" s="304"/>
      <c r="AO164" s="304"/>
      <c r="AP164" s="304"/>
      <c r="AQ164" s="304"/>
      <c r="AR164" s="304"/>
      <c r="AS164" s="304"/>
      <c r="AT164" s="304"/>
      <c r="AU164" s="304"/>
      <c r="AV164" s="304"/>
      <c r="AW164" s="304"/>
      <c r="AX164" s="304"/>
      <c r="AY164" s="304"/>
      <c r="AZ164" s="304"/>
      <c r="BA164" s="304"/>
      <c r="BB164" s="304"/>
      <c r="BC164" s="304"/>
      <c r="BD164" s="304"/>
      <c r="BE164" s="304"/>
      <c r="BF164" s="304"/>
      <c r="BG164" s="304"/>
      <c r="BH164" s="304"/>
      <c r="BI164" s="304"/>
      <c r="BJ164" s="304"/>
      <c r="BK164" s="304"/>
      <c r="BL164" s="304"/>
      <c r="BM164" s="304"/>
      <c r="BN164" s="304"/>
      <c r="BO164" s="304"/>
      <c r="BP164" s="304"/>
      <c r="BQ164" s="304"/>
      <c r="BR164" s="304"/>
      <c r="BS164" s="304"/>
      <c r="BT164" s="304"/>
      <c r="BU164" s="304"/>
      <c r="BV164" s="304"/>
      <c r="BW164" s="304"/>
      <c r="BX164" s="304"/>
      <c r="BY164" s="304"/>
      <c r="BZ164" s="304"/>
      <c r="CA164" s="304"/>
      <c r="CB164" s="304"/>
      <c r="CC164" s="304"/>
      <c r="CD164" s="304"/>
      <c r="CE164" s="304"/>
      <c r="CF164" s="304"/>
      <c r="CG164" s="304"/>
      <c r="CH164" s="304"/>
      <c r="CI164" s="304"/>
      <c r="CJ164" s="304"/>
      <c r="CK164" s="304"/>
      <c r="CL164" s="304"/>
      <c r="CM164" s="304"/>
      <c r="CN164" s="304"/>
      <c r="CO164" s="304"/>
      <c r="CP164" s="304"/>
      <c r="CQ164" s="304"/>
      <c r="CR164" s="304"/>
      <c r="CS164" s="304"/>
      <c r="CT164" s="304"/>
      <c r="CU164" s="304"/>
      <c r="CV164" s="304"/>
    </row>
    <row r="165" spans="1:100" s="274" customFormat="1" ht="19.5" hidden="1" customHeight="1">
      <c r="A165" s="286" t="e">
        <f>#REF!</f>
        <v>#REF!</v>
      </c>
      <c r="B165" s="286"/>
      <c r="C165" s="286"/>
      <c r="D165" s="286"/>
      <c r="E165" s="286"/>
      <c r="F165" s="286"/>
      <c r="G165" s="286"/>
      <c r="H165" s="286"/>
      <c r="I165" s="287" t="e">
        <f>#REF!</f>
        <v>#REF!</v>
      </c>
      <c r="J165" s="915" t="e">
        <f>#REF!</f>
        <v>#REF!</v>
      </c>
      <c r="K165" s="915"/>
      <c r="L165" s="915"/>
      <c r="M165" s="915"/>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c r="BA165" s="304"/>
      <c r="BB165" s="304"/>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4"/>
      <c r="BZ165" s="304"/>
      <c r="CA165" s="304"/>
      <c r="CB165" s="304"/>
      <c r="CC165" s="304"/>
      <c r="CD165" s="304"/>
      <c r="CE165" s="304"/>
      <c r="CF165" s="304"/>
      <c r="CG165" s="304"/>
      <c r="CH165" s="304"/>
      <c r="CI165" s="304"/>
      <c r="CJ165" s="304"/>
      <c r="CK165" s="304"/>
      <c r="CL165" s="304"/>
      <c r="CM165" s="304"/>
      <c r="CN165" s="304"/>
      <c r="CO165" s="304"/>
      <c r="CP165" s="304"/>
      <c r="CQ165" s="304"/>
      <c r="CR165" s="304"/>
      <c r="CS165" s="304"/>
      <c r="CT165" s="304"/>
      <c r="CU165" s="304"/>
      <c r="CV165" s="304"/>
    </row>
    <row r="166" spans="1:100" s="274" customFormat="1" ht="19.5" hidden="1" customHeight="1">
      <c r="A166" s="286" t="e">
        <f>#REF!</f>
        <v>#REF!</v>
      </c>
      <c r="B166" s="286"/>
      <c r="C166" s="286"/>
      <c r="D166" s="286"/>
      <c r="E166" s="286"/>
      <c r="F166" s="286"/>
      <c r="G166" s="286"/>
      <c r="H166" s="286"/>
      <c r="I166" s="287" t="e">
        <f>#REF!</f>
        <v>#REF!</v>
      </c>
      <c r="J166" s="915" t="e">
        <f>#REF!</f>
        <v>#REF!</v>
      </c>
      <c r="K166" s="915"/>
      <c r="L166" s="915"/>
      <c r="M166" s="915"/>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c r="BA166" s="304"/>
      <c r="BB166" s="304"/>
      <c r="BC166" s="304"/>
      <c r="BD166" s="304"/>
      <c r="BE166" s="304"/>
      <c r="BF166" s="304"/>
      <c r="BG166" s="304"/>
      <c r="BH166" s="304"/>
      <c r="BI166" s="304"/>
      <c r="BJ166" s="304"/>
      <c r="BK166" s="304"/>
      <c r="BL166" s="304"/>
      <c r="BM166" s="304"/>
      <c r="BN166" s="304"/>
      <c r="BO166" s="304"/>
      <c r="BP166" s="304"/>
      <c r="BQ166" s="304"/>
      <c r="BR166" s="304"/>
      <c r="BS166" s="304"/>
      <c r="BT166" s="304"/>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row>
    <row r="167" spans="1:100" s="274" customFormat="1" ht="19.5" hidden="1" customHeight="1">
      <c r="A167" s="296"/>
      <c r="B167" s="296"/>
      <c r="C167" s="296"/>
      <c r="D167" s="296"/>
      <c r="E167" s="296"/>
      <c r="F167" s="296"/>
      <c r="G167" s="296"/>
      <c r="H167" s="296"/>
      <c r="I167" s="285" t="e">
        <f>#REF!</f>
        <v>#REF!</v>
      </c>
      <c r="J167" s="915" t="e">
        <f>#REF!</f>
        <v>#REF!</v>
      </c>
      <c r="K167" s="915"/>
      <c r="L167" s="915"/>
      <c r="M167" s="915"/>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c r="BA167" s="304"/>
      <c r="BB167" s="304"/>
      <c r="BC167" s="304"/>
      <c r="BD167" s="304"/>
      <c r="BE167" s="304"/>
      <c r="BF167" s="304"/>
      <c r="BG167" s="304"/>
      <c r="BH167" s="304"/>
      <c r="BI167" s="304"/>
      <c r="BJ167" s="304"/>
      <c r="BK167" s="304"/>
      <c r="BL167" s="304"/>
      <c r="BM167" s="304"/>
      <c r="BN167" s="304"/>
      <c r="BO167" s="304"/>
      <c r="BP167" s="304"/>
      <c r="BQ167" s="304"/>
      <c r="BR167" s="304"/>
      <c r="BS167" s="304"/>
      <c r="BT167" s="304"/>
      <c r="BU167" s="304"/>
      <c r="BV167" s="304"/>
      <c r="BW167" s="304"/>
      <c r="BX167" s="304"/>
      <c r="BY167" s="304"/>
      <c r="BZ167" s="304"/>
      <c r="CA167" s="304"/>
      <c r="CB167" s="304"/>
      <c r="CC167" s="304"/>
      <c r="CD167" s="304"/>
      <c r="CE167" s="304"/>
      <c r="CF167" s="304"/>
      <c r="CG167" s="304"/>
      <c r="CH167" s="304"/>
      <c r="CI167" s="304"/>
      <c r="CJ167" s="304"/>
      <c r="CK167" s="304"/>
      <c r="CL167" s="304"/>
      <c r="CM167" s="304"/>
      <c r="CN167" s="304"/>
      <c r="CO167" s="304"/>
      <c r="CP167" s="304"/>
      <c r="CQ167" s="304"/>
      <c r="CR167" s="304"/>
      <c r="CS167" s="304"/>
      <c r="CT167" s="304"/>
      <c r="CU167" s="304"/>
      <c r="CV167" s="304"/>
    </row>
    <row r="168" spans="1:100" s="274" customFormat="1" ht="33" hidden="1" customHeight="1">
      <c r="A168" s="289" t="e">
        <f>#REF!</f>
        <v>#REF!</v>
      </c>
      <c r="B168" s="289"/>
      <c r="C168" s="289"/>
      <c r="D168" s="289"/>
      <c r="E168" s="289"/>
      <c r="F168" s="289"/>
      <c r="G168" s="289"/>
      <c r="H168" s="289"/>
      <c r="I168" s="285" t="e">
        <f>#REF!</f>
        <v>#REF!</v>
      </c>
      <c r="J168" s="915"/>
      <c r="K168" s="915"/>
      <c r="L168" s="915"/>
      <c r="M168" s="915"/>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c r="BA168" s="304"/>
      <c r="BB168" s="304"/>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4"/>
      <c r="BZ168" s="304"/>
      <c r="CA168" s="304"/>
      <c r="CB168" s="304"/>
      <c r="CC168" s="304"/>
      <c r="CD168" s="304"/>
      <c r="CE168" s="304"/>
      <c r="CF168" s="304"/>
      <c r="CG168" s="304"/>
      <c r="CH168" s="304"/>
      <c r="CI168" s="304"/>
      <c r="CJ168" s="304"/>
      <c r="CK168" s="304"/>
      <c r="CL168" s="304"/>
      <c r="CM168" s="304"/>
      <c r="CN168" s="304"/>
      <c r="CO168" s="304"/>
      <c r="CP168" s="304"/>
      <c r="CQ168" s="304"/>
      <c r="CR168" s="304"/>
      <c r="CS168" s="304"/>
      <c r="CT168" s="304"/>
      <c r="CU168" s="304"/>
      <c r="CV168" s="304"/>
    </row>
    <row r="169" spans="1:100" s="274" customFormat="1" ht="33" hidden="1" customHeight="1">
      <c r="A169" s="286" t="e">
        <f>#REF!</f>
        <v>#REF!</v>
      </c>
      <c r="B169" s="286"/>
      <c r="C169" s="286"/>
      <c r="D169" s="286"/>
      <c r="E169" s="286"/>
      <c r="F169" s="286"/>
      <c r="G169" s="286"/>
      <c r="H169" s="286"/>
      <c r="I169" s="287" t="e">
        <f>#REF!</f>
        <v>#REF!</v>
      </c>
      <c r="J169" s="915" t="e">
        <f>#REF!</f>
        <v>#REF!</v>
      </c>
      <c r="K169" s="915"/>
      <c r="L169" s="915"/>
      <c r="M169" s="915"/>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c r="BA169" s="304"/>
      <c r="BB169" s="304"/>
      <c r="BC169" s="304"/>
      <c r="BD169" s="304"/>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4"/>
      <c r="BZ169" s="304"/>
      <c r="CA169" s="304"/>
      <c r="CB169" s="304"/>
      <c r="CC169" s="304"/>
      <c r="CD169" s="304"/>
      <c r="CE169" s="304"/>
      <c r="CF169" s="304"/>
      <c r="CG169" s="304"/>
      <c r="CH169" s="304"/>
      <c r="CI169" s="304"/>
      <c r="CJ169" s="304"/>
      <c r="CK169" s="304"/>
      <c r="CL169" s="304"/>
      <c r="CM169" s="304"/>
      <c r="CN169" s="304"/>
      <c r="CO169" s="304"/>
      <c r="CP169" s="304"/>
      <c r="CQ169" s="304"/>
      <c r="CR169" s="304"/>
      <c r="CS169" s="304"/>
      <c r="CT169" s="304"/>
      <c r="CU169" s="304"/>
      <c r="CV169" s="304"/>
    </row>
    <row r="170" spans="1:100" s="274" customFormat="1" ht="19.5" hidden="1" customHeight="1">
      <c r="A170" s="286" t="e">
        <f>#REF!</f>
        <v>#REF!</v>
      </c>
      <c r="B170" s="286"/>
      <c r="C170" s="286"/>
      <c r="D170" s="286"/>
      <c r="E170" s="286"/>
      <c r="F170" s="286"/>
      <c r="G170" s="286"/>
      <c r="H170" s="286"/>
      <c r="I170" s="287" t="e">
        <f>#REF!</f>
        <v>#REF!</v>
      </c>
      <c r="J170" s="915" t="e">
        <f>#REF!</f>
        <v>#REF!</v>
      </c>
      <c r="K170" s="915"/>
      <c r="L170" s="915"/>
      <c r="M170" s="915"/>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c r="BA170" s="304"/>
      <c r="BB170" s="304"/>
      <c r="BC170" s="304"/>
      <c r="BD170" s="304"/>
      <c r="BE170" s="304"/>
      <c r="BF170" s="304"/>
      <c r="BG170" s="304"/>
      <c r="BH170" s="304"/>
      <c r="BI170" s="304"/>
      <c r="BJ170" s="304"/>
      <c r="BK170" s="304"/>
      <c r="BL170" s="304"/>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4"/>
      <c r="CK170" s="304"/>
      <c r="CL170" s="304"/>
      <c r="CM170" s="304"/>
      <c r="CN170" s="304"/>
      <c r="CO170" s="304"/>
      <c r="CP170" s="304"/>
      <c r="CQ170" s="304"/>
      <c r="CR170" s="304"/>
      <c r="CS170" s="304"/>
      <c r="CT170" s="304"/>
      <c r="CU170" s="304"/>
      <c r="CV170" s="304"/>
    </row>
    <row r="171" spans="1:100" s="274" customFormat="1" ht="19.5" hidden="1" customHeight="1">
      <c r="A171" s="286" t="e">
        <f>#REF!</f>
        <v>#REF!</v>
      </c>
      <c r="B171" s="286"/>
      <c r="C171" s="286"/>
      <c r="D171" s="286"/>
      <c r="E171" s="286"/>
      <c r="F171" s="286"/>
      <c r="G171" s="286"/>
      <c r="H171" s="286"/>
      <c r="I171" s="287" t="e">
        <f>#REF!</f>
        <v>#REF!</v>
      </c>
      <c r="J171" s="915" t="e">
        <f>#REF!</f>
        <v>#REF!</v>
      </c>
      <c r="K171" s="915"/>
      <c r="L171" s="915"/>
      <c r="M171" s="915"/>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4"/>
      <c r="CK171" s="304"/>
      <c r="CL171" s="304"/>
      <c r="CM171" s="304"/>
      <c r="CN171" s="304"/>
      <c r="CO171" s="304"/>
      <c r="CP171" s="304"/>
      <c r="CQ171" s="304"/>
      <c r="CR171" s="304"/>
      <c r="CS171" s="304"/>
      <c r="CT171" s="304"/>
      <c r="CU171" s="304"/>
      <c r="CV171" s="304"/>
    </row>
    <row r="172" spans="1:100" s="274" customFormat="1" ht="19.5" hidden="1" customHeight="1">
      <c r="A172" s="296" t="e">
        <f>#REF!</f>
        <v>#REF!</v>
      </c>
      <c r="B172" s="296"/>
      <c r="C172" s="296"/>
      <c r="D172" s="296"/>
      <c r="E172" s="296"/>
      <c r="F172" s="296"/>
      <c r="G172" s="296"/>
      <c r="H172" s="296"/>
      <c r="I172" s="285" t="e">
        <f>#REF!</f>
        <v>#REF!</v>
      </c>
      <c r="J172" s="915" t="e">
        <f>#REF!</f>
        <v>#REF!</v>
      </c>
      <c r="K172" s="915"/>
      <c r="L172" s="915"/>
      <c r="M172" s="915"/>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row>
    <row r="173" spans="1:100" s="274" customFormat="1" ht="33" hidden="1" customHeight="1">
      <c r="A173" s="289" t="e">
        <f>#REF!</f>
        <v>#REF!</v>
      </c>
      <c r="B173" s="289"/>
      <c r="C173" s="289"/>
      <c r="D173" s="289"/>
      <c r="E173" s="289"/>
      <c r="F173" s="289"/>
      <c r="G173" s="289"/>
      <c r="H173" s="289"/>
      <c r="I173" s="285" t="e">
        <f>#REF!</f>
        <v>#REF!</v>
      </c>
      <c r="J173" s="915"/>
      <c r="K173" s="915"/>
      <c r="L173" s="915"/>
      <c r="M173" s="915"/>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c r="CE173" s="304"/>
      <c r="CF173" s="304"/>
      <c r="CG173" s="304"/>
      <c r="CH173" s="304"/>
      <c r="CI173" s="304"/>
      <c r="CJ173" s="304"/>
      <c r="CK173" s="304"/>
      <c r="CL173" s="304"/>
      <c r="CM173" s="304"/>
      <c r="CN173" s="304"/>
      <c r="CO173" s="304"/>
      <c r="CP173" s="304"/>
      <c r="CQ173" s="304"/>
      <c r="CR173" s="304"/>
      <c r="CS173" s="304"/>
      <c r="CT173" s="304"/>
      <c r="CU173" s="304"/>
      <c r="CV173" s="304"/>
    </row>
    <row r="174" spans="1:100" s="274" customFormat="1" ht="19.5" hidden="1" customHeight="1">
      <c r="A174" s="286" t="e">
        <f>#REF!</f>
        <v>#REF!</v>
      </c>
      <c r="B174" s="286"/>
      <c r="C174" s="286"/>
      <c r="D174" s="286"/>
      <c r="E174" s="286"/>
      <c r="F174" s="286"/>
      <c r="G174" s="286"/>
      <c r="H174" s="286"/>
      <c r="I174" s="287" t="e">
        <f>#REF!</f>
        <v>#REF!</v>
      </c>
      <c r="J174" s="915" t="e">
        <f>#REF!</f>
        <v>#REF!</v>
      </c>
      <c r="K174" s="915"/>
      <c r="L174" s="915"/>
      <c r="M174" s="915"/>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c r="BA174" s="304"/>
      <c r="BB174" s="304"/>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4"/>
      <c r="BZ174" s="304"/>
      <c r="CA174" s="304"/>
      <c r="CB174" s="304"/>
      <c r="CC174" s="304"/>
      <c r="CD174" s="304"/>
      <c r="CE174" s="304"/>
      <c r="CF174" s="304"/>
      <c r="CG174" s="304"/>
      <c r="CH174" s="304"/>
      <c r="CI174" s="304"/>
      <c r="CJ174" s="304"/>
      <c r="CK174" s="304"/>
      <c r="CL174" s="304"/>
      <c r="CM174" s="304"/>
      <c r="CN174" s="304"/>
      <c r="CO174" s="304"/>
      <c r="CP174" s="304"/>
      <c r="CQ174" s="304"/>
      <c r="CR174" s="304"/>
      <c r="CS174" s="304"/>
      <c r="CT174" s="304"/>
      <c r="CU174" s="304"/>
      <c r="CV174" s="304"/>
    </row>
    <row r="175" spans="1:100" s="274" customFormat="1" ht="19.5" hidden="1" customHeight="1">
      <c r="A175" s="286" t="e">
        <f>#REF!</f>
        <v>#REF!</v>
      </c>
      <c r="B175" s="286"/>
      <c r="C175" s="286"/>
      <c r="D175" s="286"/>
      <c r="E175" s="286"/>
      <c r="F175" s="286"/>
      <c r="G175" s="286"/>
      <c r="H175" s="286"/>
      <c r="I175" s="287" t="e">
        <f>#REF!</f>
        <v>#REF!</v>
      </c>
      <c r="J175" s="915" t="e">
        <f>#REF!</f>
        <v>#REF!</v>
      </c>
      <c r="K175" s="915"/>
      <c r="L175" s="915"/>
      <c r="M175" s="915"/>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c r="BN175" s="304"/>
      <c r="BO175" s="304"/>
      <c r="BP175" s="304"/>
      <c r="BQ175" s="304"/>
      <c r="BR175" s="304"/>
      <c r="BS175" s="304"/>
      <c r="BT175" s="304"/>
      <c r="BU175" s="304"/>
      <c r="BV175" s="304"/>
      <c r="BW175" s="304"/>
      <c r="BX175" s="304"/>
      <c r="BY175" s="304"/>
      <c r="BZ175" s="304"/>
      <c r="CA175" s="304"/>
      <c r="CB175" s="304"/>
      <c r="CC175" s="304"/>
      <c r="CD175" s="304"/>
      <c r="CE175" s="304"/>
      <c r="CF175" s="304"/>
      <c r="CG175" s="304"/>
      <c r="CH175" s="304"/>
      <c r="CI175" s="304"/>
      <c r="CJ175" s="304"/>
      <c r="CK175" s="304"/>
      <c r="CL175" s="304"/>
      <c r="CM175" s="304"/>
      <c r="CN175" s="304"/>
      <c r="CO175" s="304"/>
      <c r="CP175" s="304"/>
      <c r="CQ175" s="304"/>
      <c r="CR175" s="304"/>
      <c r="CS175" s="304"/>
      <c r="CT175" s="304"/>
      <c r="CU175" s="304"/>
      <c r="CV175" s="304"/>
    </row>
    <row r="176" spans="1:100" s="274" customFormat="1" ht="32.25" hidden="1" customHeight="1">
      <c r="A176" s="286" t="e">
        <f>#REF!</f>
        <v>#REF!</v>
      </c>
      <c r="B176" s="286"/>
      <c r="C176" s="286"/>
      <c r="D176" s="286"/>
      <c r="E176" s="286"/>
      <c r="F176" s="286"/>
      <c r="G176" s="286"/>
      <c r="H176" s="286"/>
      <c r="I176" s="287" t="e">
        <f>#REF!</f>
        <v>#REF!</v>
      </c>
      <c r="J176" s="915" t="e">
        <f>#REF!</f>
        <v>#REF!</v>
      </c>
      <c r="K176" s="915"/>
      <c r="L176" s="915"/>
      <c r="M176" s="915"/>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c r="BN176" s="304"/>
      <c r="BO176" s="304"/>
      <c r="BP176" s="304"/>
      <c r="BQ176" s="304"/>
      <c r="BR176" s="304"/>
      <c r="BS176" s="304"/>
      <c r="BT176" s="304"/>
      <c r="BU176" s="304"/>
      <c r="BV176" s="304"/>
      <c r="BW176" s="304"/>
      <c r="BX176" s="304"/>
      <c r="BY176" s="304"/>
      <c r="BZ176" s="304"/>
      <c r="CA176" s="304"/>
      <c r="CB176" s="304"/>
      <c r="CC176" s="304"/>
      <c r="CD176" s="304"/>
      <c r="CE176" s="304"/>
      <c r="CF176" s="304"/>
      <c r="CG176" s="304"/>
      <c r="CH176" s="304"/>
      <c r="CI176" s="304"/>
      <c r="CJ176" s="304"/>
      <c r="CK176" s="304"/>
      <c r="CL176" s="304"/>
      <c r="CM176" s="304"/>
      <c r="CN176" s="304"/>
      <c r="CO176" s="304"/>
      <c r="CP176" s="304"/>
      <c r="CQ176" s="304"/>
      <c r="CR176" s="304"/>
      <c r="CS176" s="304"/>
      <c r="CT176" s="304"/>
      <c r="CU176" s="304"/>
      <c r="CV176" s="304"/>
    </row>
    <row r="177" spans="1:100" s="274" customFormat="1" ht="19.5" hidden="1" customHeight="1">
      <c r="A177" s="286" t="e">
        <f>#REF!</f>
        <v>#REF!</v>
      </c>
      <c r="B177" s="286"/>
      <c r="C177" s="286"/>
      <c r="D177" s="286"/>
      <c r="E177" s="286"/>
      <c r="F177" s="286"/>
      <c r="G177" s="286"/>
      <c r="H177" s="286"/>
      <c r="I177" s="287" t="e">
        <f>#REF!</f>
        <v>#REF!</v>
      </c>
      <c r="J177" s="915" t="e">
        <f>#REF!</f>
        <v>#REF!</v>
      </c>
      <c r="K177" s="915"/>
      <c r="L177" s="915"/>
      <c r="M177" s="915"/>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c r="BA177" s="304"/>
      <c r="BB177" s="304"/>
      <c r="BC177" s="304"/>
      <c r="BD177" s="304"/>
      <c r="BE177" s="304"/>
      <c r="BF177" s="304"/>
      <c r="BG177" s="304"/>
      <c r="BH177" s="304"/>
      <c r="BI177" s="304"/>
      <c r="BJ177" s="304"/>
      <c r="BK177" s="304"/>
      <c r="BL177" s="304"/>
      <c r="BM177" s="304"/>
      <c r="BN177" s="304"/>
      <c r="BO177" s="304"/>
      <c r="BP177" s="304"/>
      <c r="BQ177" s="304"/>
      <c r="BR177" s="304"/>
      <c r="BS177" s="304"/>
      <c r="BT177" s="304"/>
      <c r="BU177" s="304"/>
      <c r="BV177" s="304"/>
      <c r="BW177" s="304"/>
      <c r="BX177" s="304"/>
      <c r="BY177" s="304"/>
      <c r="BZ177" s="304"/>
      <c r="CA177" s="304"/>
      <c r="CB177" s="304"/>
      <c r="CC177" s="304"/>
      <c r="CD177" s="304"/>
      <c r="CE177" s="304"/>
      <c r="CF177" s="304"/>
      <c r="CG177" s="304"/>
      <c r="CH177" s="304"/>
      <c r="CI177" s="304"/>
      <c r="CJ177" s="304"/>
      <c r="CK177" s="304"/>
      <c r="CL177" s="304"/>
      <c r="CM177" s="304"/>
      <c r="CN177" s="304"/>
      <c r="CO177" s="304"/>
      <c r="CP177" s="304"/>
      <c r="CQ177" s="304"/>
      <c r="CR177" s="304"/>
      <c r="CS177" s="304"/>
      <c r="CT177" s="304"/>
      <c r="CU177" s="304"/>
      <c r="CV177" s="304"/>
    </row>
    <row r="178" spans="1:100" s="274" customFormat="1" ht="19.5" hidden="1" customHeight="1">
      <c r="A178" s="288"/>
      <c r="B178" s="288"/>
      <c r="C178" s="288"/>
      <c r="D178" s="288"/>
      <c r="E178" s="288"/>
      <c r="F178" s="288"/>
      <c r="G178" s="288"/>
      <c r="H178" s="288"/>
      <c r="I178" s="285" t="e">
        <f>#REF!</f>
        <v>#REF!</v>
      </c>
      <c r="J178" s="915" t="e">
        <f>#REF!</f>
        <v>#REF!</v>
      </c>
      <c r="K178" s="915"/>
      <c r="L178" s="915"/>
      <c r="M178" s="915"/>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c r="BA178" s="304"/>
      <c r="BB178" s="304"/>
      <c r="BC178" s="304"/>
      <c r="BD178" s="304"/>
      <c r="BE178" s="304"/>
      <c r="BF178" s="304"/>
      <c r="BG178" s="304"/>
      <c r="BH178" s="304"/>
      <c r="BI178" s="304"/>
      <c r="BJ178" s="304"/>
      <c r="BK178" s="304"/>
      <c r="BL178" s="304"/>
      <c r="BM178" s="304"/>
      <c r="BN178" s="304"/>
      <c r="BO178" s="304"/>
      <c r="BP178" s="304"/>
      <c r="BQ178" s="304"/>
      <c r="BR178" s="304"/>
      <c r="BS178" s="304"/>
      <c r="BT178" s="304"/>
      <c r="BU178" s="304"/>
      <c r="BV178" s="304"/>
      <c r="BW178" s="304"/>
      <c r="BX178" s="304"/>
      <c r="BY178" s="304"/>
      <c r="BZ178" s="304"/>
      <c r="CA178" s="304"/>
      <c r="CB178" s="304"/>
      <c r="CC178" s="304"/>
      <c r="CD178" s="304"/>
      <c r="CE178" s="304"/>
      <c r="CF178" s="304"/>
      <c r="CG178" s="304"/>
      <c r="CH178" s="304"/>
      <c r="CI178" s="304"/>
      <c r="CJ178" s="304"/>
      <c r="CK178" s="304"/>
      <c r="CL178" s="304"/>
      <c r="CM178" s="304"/>
      <c r="CN178" s="304"/>
      <c r="CO178" s="304"/>
      <c r="CP178" s="304"/>
      <c r="CQ178" s="304"/>
      <c r="CR178" s="304"/>
      <c r="CS178" s="304"/>
      <c r="CT178" s="304"/>
      <c r="CU178" s="304"/>
      <c r="CV178" s="304"/>
    </row>
    <row r="179" spans="1:100" s="274" customFormat="1" ht="16.5" hidden="1" customHeight="1">
      <c r="A179" s="291"/>
      <c r="B179" s="291"/>
      <c r="C179" s="291"/>
      <c r="D179" s="291"/>
      <c r="E179" s="291"/>
      <c r="F179" s="291"/>
      <c r="G179" s="291"/>
      <c r="H179" s="291"/>
      <c r="I179" s="285" t="e">
        <f>#REF!</f>
        <v>#REF!</v>
      </c>
      <c r="J179" s="915" t="e">
        <f>#REF!</f>
        <v>#REF!</v>
      </c>
      <c r="K179" s="915"/>
      <c r="L179" s="915"/>
      <c r="M179" s="915"/>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c r="BA179" s="304"/>
      <c r="BB179" s="304"/>
      <c r="BC179" s="304"/>
      <c r="BD179" s="304"/>
      <c r="BE179" s="304"/>
      <c r="BF179" s="304"/>
      <c r="BG179" s="304"/>
      <c r="BH179" s="304"/>
      <c r="BI179" s="304"/>
      <c r="BJ179" s="304"/>
      <c r="BK179" s="304"/>
      <c r="BL179" s="304"/>
      <c r="BM179" s="304"/>
      <c r="BN179" s="304"/>
      <c r="BO179" s="304"/>
      <c r="BP179" s="304"/>
      <c r="BQ179" s="304"/>
      <c r="BR179" s="304"/>
      <c r="BS179" s="304"/>
      <c r="BT179" s="304"/>
      <c r="BU179" s="304"/>
      <c r="BV179" s="304"/>
      <c r="BW179" s="304"/>
      <c r="BX179" s="304"/>
      <c r="BY179" s="304"/>
      <c r="BZ179" s="304"/>
      <c r="CA179" s="304"/>
      <c r="CB179" s="304"/>
      <c r="CC179" s="304"/>
      <c r="CD179" s="304"/>
      <c r="CE179" s="304"/>
      <c r="CF179" s="304"/>
      <c r="CG179" s="304"/>
      <c r="CH179" s="304"/>
      <c r="CI179" s="304"/>
      <c r="CJ179" s="304"/>
      <c r="CK179" s="304"/>
      <c r="CL179" s="304"/>
      <c r="CM179" s="304"/>
      <c r="CN179" s="304"/>
      <c r="CO179" s="304"/>
      <c r="CP179" s="304"/>
      <c r="CQ179" s="304"/>
      <c r="CR179" s="304"/>
      <c r="CS179" s="304"/>
      <c r="CT179" s="304"/>
      <c r="CU179" s="304"/>
      <c r="CV179" s="304"/>
    </row>
    <row r="180" spans="1:100" s="274" customFormat="1" ht="19.5" hidden="1" customHeight="1">
      <c r="A180" s="293"/>
      <c r="B180" s="293"/>
      <c r="C180" s="293"/>
      <c r="D180" s="293"/>
      <c r="E180" s="293"/>
      <c r="F180" s="293"/>
      <c r="G180" s="293"/>
      <c r="H180" s="293"/>
      <c r="I180" s="285" t="e">
        <f>#REF!</f>
        <v>#REF!</v>
      </c>
      <c r="J180" s="915" t="e">
        <f>#REF!</f>
        <v>#REF!</v>
      </c>
      <c r="K180" s="915"/>
      <c r="L180" s="915"/>
      <c r="M180" s="915"/>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c r="BA180" s="304"/>
      <c r="BB180" s="304"/>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4"/>
      <c r="BZ180" s="304"/>
      <c r="CA180" s="304"/>
      <c r="CB180" s="304"/>
      <c r="CC180" s="304"/>
      <c r="CD180" s="304"/>
      <c r="CE180" s="304"/>
      <c r="CF180" s="304"/>
      <c r="CG180" s="304"/>
      <c r="CH180" s="304"/>
      <c r="CI180" s="304"/>
      <c r="CJ180" s="304"/>
      <c r="CK180" s="304"/>
      <c r="CL180" s="304"/>
      <c r="CM180" s="304"/>
      <c r="CN180" s="304"/>
      <c r="CO180" s="304"/>
      <c r="CP180" s="304"/>
      <c r="CQ180" s="304"/>
      <c r="CR180" s="304"/>
      <c r="CS180" s="304"/>
      <c r="CT180" s="304"/>
      <c r="CU180" s="304"/>
      <c r="CV180" s="304"/>
    </row>
    <row r="181" spans="1:100" s="265" customFormat="1">
      <c r="A181" s="297"/>
      <c r="B181" s="297"/>
      <c r="C181" s="297"/>
      <c r="D181" s="297"/>
      <c r="E181" s="297"/>
      <c r="F181" s="297"/>
      <c r="G181" s="297"/>
      <c r="H181" s="297"/>
      <c r="I181" s="298"/>
      <c r="J181" s="916"/>
      <c r="K181" s="916"/>
      <c r="L181" s="916"/>
      <c r="M181" s="916"/>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304"/>
      <c r="BE181" s="304"/>
      <c r="BF181" s="304"/>
      <c r="BG181" s="304"/>
      <c r="BH181" s="304"/>
      <c r="BI181" s="304"/>
      <c r="BJ181" s="304"/>
      <c r="BK181" s="304"/>
      <c r="BL181" s="304"/>
      <c r="BM181" s="304"/>
      <c r="BN181" s="304"/>
      <c r="BO181" s="304"/>
      <c r="BP181" s="304"/>
      <c r="BQ181" s="304"/>
      <c r="BR181" s="304"/>
      <c r="BS181" s="304"/>
      <c r="BT181" s="304"/>
      <c r="BU181" s="304"/>
      <c r="BV181" s="304"/>
      <c r="BW181" s="304"/>
      <c r="BX181" s="304"/>
      <c r="BY181" s="304"/>
      <c r="BZ181" s="304"/>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row>
    <row r="182" spans="1:100" s="265" customFormat="1">
      <c r="A182" s="270"/>
      <c r="B182" s="270"/>
      <c r="C182" s="270"/>
      <c r="D182" s="270"/>
      <c r="E182" s="270"/>
      <c r="F182" s="270"/>
      <c r="G182" s="270"/>
      <c r="H182" s="270"/>
      <c r="I182" s="399"/>
      <c r="J182" s="271"/>
      <c r="K182" s="271"/>
      <c r="L182" s="271"/>
      <c r="M182" s="271"/>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304"/>
      <c r="BE182" s="304"/>
      <c r="BF182" s="304"/>
      <c r="BG182" s="304"/>
      <c r="BH182" s="304"/>
      <c r="BI182" s="304"/>
      <c r="BJ182" s="304"/>
      <c r="BK182" s="304"/>
      <c r="BL182" s="304"/>
      <c r="BM182" s="304"/>
      <c r="BN182" s="304"/>
      <c r="BO182" s="304"/>
      <c r="BP182" s="304"/>
      <c r="BQ182" s="304"/>
      <c r="BR182" s="304"/>
      <c r="BS182" s="304"/>
      <c r="BT182" s="304"/>
      <c r="BU182" s="304"/>
      <c r="BV182" s="304"/>
      <c r="BW182" s="304"/>
      <c r="BX182" s="304"/>
      <c r="BY182" s="304"/>
      <c r="BZ182" s="304"/>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row>
    <row r="183" spans="1:100" s="265" customFormat="1">
      <c r="A183" s="270"/>
      <c r="B183" s="270"/>
      <c r="C183" s="270"/>
      <c r="D183" s="270"/>
      <c r="E183" s="270"/>
      <c r="F183" s="270"/>
      <c r="G183" s="270"/>
      <c r="H183" s="270"/>
      <c r="I183" s="399"/>
      <c r="J183" s="271"/>
      <c r="K183" s="271"/>
      <c r="L183" s="271"/>
      <c r="M183" s="271"/>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c r="BA183" s="304"/>
      <c r="BB183" s="304"/>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4"/>
      <c r="BZ183" s="304"/>
      <c r="CA183" s="304"/>
      <c r="CB183" s="304"/>
      <c r="CC183" s="304"/>
      <c r="CD183" s="304"/>
      <c r="CE183" s="304"/>
      <c r="CF183" s="304"/>
      <c r="CG183" s="304"/>
      <c r="CH183" s="304"/>
      <c r="CI183" s="304"/>
      <c r="CJ183" s="304"/>
      <c r="CK183" s="304"/>
      <c r="CL183" s="304"/>
      <c r="CM183" s="304"/>
      <c r="CN183" s="304"/>
      <c r="CO183" s="304"/>
      <c r="CP183" s="304"/>
      <c r="CQ183" s="304"/>
      <c r="CR183" s="304"/>
      <c r="CS183" s="304"/>
      <c r="CT183" s="304"/>
      <c r="CU183" s="304"/>
      <c r="CV183" s="304"/>
    </row>
  </sheetData>
  <sheetProtection password="CC6F" sheet="1" formatColumns="0" formatRows="0" selectLockedCells="1"/>
  <customSheetViews>
    <customSheetView guid="{858F61A7-D995-4540-8BB4-0D5C12D88289}" showPageBreaks="1" printArea="1" hiddenRows="1" hiddenColumns="1" view="pageBreakPreview">
      <selection activeCell="A16" sqref="A16"/>
      <pageMargins left="0.7" right="0.7" top="0.75" bottom="0.75" header="0.3" footer="0.3"/>
      <pageSetup paperSize="9" scale="57" orientation="landscape" r:id="rId1"/>
    </customSheetView>
    <customSheetView guid="{CCA37BAE-906F-43D5-9FD9-B13563E4B9D7}"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CA9345C4-09FE-4F27-BFD9-3D9BCD2DED09}"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7AB1F867-F01E-4EB9-A93D-DDCFDB9AA444}" showPageBreaks="1" printArea="1" hiddenRows="1" hiddenColumns="1" view="pageBreakPreview" topLeftCell="A10">
      <selection activeCell="A16" sqref="A16"/>
      <pageMargins left="0.7" right="0.7" top="0.75" bottom="0.75" header="0.3" footer="0.3"/>
      <pageSetup paperSize="9" scale="57" orientation="landscape" r:id="rId4"/>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5"/>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8"/>
    </customSheetView>
    <customSheetView guid="{497EA202-A8B8-45C5-9E6C-C3CD104F3979}" showPageBreaks="1" printArea="1" hiddenRows="1" hiddenColumns="1" view="pageBreakPreview">
      <selection activeCell="D16" sqref="D16"/>
      <pageMargins left="0.7" right="0.7" top="0.75" bottom="0.75" header="0.3" footer="0.3"/>
      <pageSetup paperSize="9" scale="57" orientation="landscape" r:id="rId9"/>
    </customSheetView>
    <customSheetView guid="{63D51328-7CBC-4A1E-B96D-BAE91416501B}" showPageBreaks="1" printArea="1" hiddenRows="1" hiddenColumns="1" view="pageBreakPreview">
      <selection activeCell="D16" sqref="D16"/>
      <pageMargins left="0.7" right="0.7" top="0.75" bottom="0.75" header="0.3" footer="0.3"/>
      <pageSetup paperSize="9" scale="57" orientation="landscape" r:id="rId10"/>
    </customSheetView>
    <customSheetView guid="{D5521983-A70D-48A3-9506-C0263CBBC57D}" showPageBreaks="1" printArea="1" hiddenRows="1" hiddenColumns="1" view="pageBreakPreview" topLeftCell="A10">
      <selection activeCell="A16" sqref="A16"/>
      <pageMargins left="0.7" right="0.7" top="0.75" bottom="0.75" header="0.3" footer="0.3"/>
      <pageSetup paperSize="9" scale="57" orientation="landscape" r:id="rId11"/>
    </customSheetView>
    <customSheetView guid="{12A89170-4F84-482D-A3C5-7890082E7B73}" showPageBreaks="1" printArea="1" hiddenRows="1" hiddenColumns="1" view="pageBreakPreview" topLeftCell="A10">
      <selection activeCell="A16" sqref="A16"/>
      <pageMargins left="0.7" right="0.7" top="0.75" bottom="0.75" header="0.3" footer="0.3"/>
      <pageSetup paperSize="9" scale="57" orientation="landscape" r:id="rId12"/>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3" zoomScaleNormal="70" zoomScaleSheetLayoutView="100" workbookViewId="0">
      <selection activeCell="G15" sqref="G15"/>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55" t="s">
        <v>164</v>
      </c>
      <c r="B1" s="955"/>
      <c r="C1" s="955"/>
      <c r="D1" s="955"/>
      <c r="E1" s="955"/>
      <c r="F1" s="955"/>
      <c r="G1" s="955"/>
      <c r="H1" s="144"/>
      <c r="I1" s="145"/>
      <c r="J1" s="146"/>
      <c r="K1" s="146"/>
      <c r="L1" s="146"/>
      <c r="M1" s="146"/>
      <c r="N1" s="146"/>
      <c r="O1" s="146"/>
      <c r="P1" s="146"/>
      <c r="Q1" s="146"/>
      <c r="R1" s="146"/>
      <c r="S1" s="146"/>
      <c r="T1" s="146"/>
      <c r="U1" s="147"/>
      <c r="V1" s="147"/>
      <c r="W1" s="147"/>
      <c r="X1" s="148"/>
      <c r="Y1" s="148"/>
    </row>
    <row r="2" spans="1:25" ht="18" customHeight="1">
      <c r="A2" s="113" t="str">
        <f>Cover!B3</f>
        <v>Specification No.: 5002002330/CONSULTANCY GIVEN/DOM/A06-CC CS -7</v>
      </c>
      <c r="B2" s="113"/>
      <c r="C2" s="114"/>
      <c r="D2" s="150"/>
      <c r="E2" s="150"/>
      <c r="F2" s="150"/>
      <c r="G2" s="116" t="s">
        <v>165</v>
      </c>
    </row>
    <row r="3" spans="1:25" ht="12.75" customHeight="1">
      <c r="A3" s="117"/>
      <c r="B3" s="117"/>
      <c r="C3" s="118"/>
      <c r="D3" s="139"/>
      <c r="E3" s="139"/>
      <c r="F3" s="139"/>
      <c r="G3" s="119"/>
    </row>
    <row r="4" spans="1:25" ht="18.95" customHeight="1">
      <c r="A4" s="956" t="s">
        <v>166</v>
      </c>
      <c r="B4" s="956"/>
      <c r="C4" s="956"/>
      <c r="D4" s="956"/>
      <c r="E4" s="956"/>
      <c r="F4" s="956"/>
      <c r="G4" s="956"/>
    </row>
    <row r="5" spans="1:25" ht="21" customHeight="1">
      <c r="A5" s="158" t="s">
        <v>1</v>
      </c>
      <c r="B5" s="158"/>
      <c r="C5" s="159"/>
      <c r="D5" s="159"/>
      <c r="E5" s="159"/>
      <c r="F5" s="159"/>
      <c r="G5" s="159"/>
    </row>
    <row r="6" spans="1:25" ht="21" customHeight="1">
      <c r="A6" s="27" t="s">
        <v>2</v>
      </c>
      <c r="B6" s="27"/>
      <c r="C6" s="159"/>
      <c r="D6" s="159"/>
      <c r="E6" s="159"/>
      <c r="F6" s="159"/>
      <c r="G6" s="159"/>
      <c r="I6" s="632" t="s">
        <v>233</v>
      </c>
      <c r="J6" s="738">
        <f>'Sch-1'!N126</f>
        <v>0</v>
      </c>
      <c r="K6" s="631"/>
      <c r="L6" s="448"/>
    </row>
    <row r="7" spans="1:25" ht="21" customHeight="1">
      <c r="A7" s="27" t="s">
        <v>3</v>
      </c>
      <c r="B7" s="27"/>
      <c r="C7" s="159"/>
      <c r="D7" s="159"/>
      <c r="E7" s="159"/>
      <c r="F7" s="159"/>
      <c r="G7" s="159"/>
      <c r="I7" s="632" t="s">
        <v>235</v>
      </c>
      <c r="J7" s="738">
        <f>'Sch-2'!J126</f>
        <v>0</v>
      </c>
      <c r="K7" s="631"/>
    </row>
    <row r="8" spans="1:25" ht="21" customHeight="1">
      <c r="A8" s="27" t="s">
        <v>4</v>
      </c>
      <c r="B8" s="27"/>
      <c r="C8" s="159"/>
      <c r="D8" s="159"/>
      <c r="E8" s="159"/>
      <c r="F8" s="159"/>
      <c r="G8" s="159"/>
      <c r="I8" s="632" t="s">
        <v>236</v>
      </c>
      <c r="J8" s="738">
        <f>'Sch-3'!P104</f>
        <v>0</v>
      </c>
      <c r="K8" s="631"/>
    </row>
    <row r="9" spans="1:25" ht="21" customHeight="1">
      <c r="A9" s="27" t="s">
        <v>167</v>
      </c>
      <c r="B9" s="27"/>
      <c r="C9" s="159"/>
      <c r="D9" s="159"/>
      <c r="E9" s="159"/>
      <c r="F9" s="159"/>
      <c r="G9" s="159"/>
      <c r="I9" s="633" t="s">
        <v>196</v>
      </c>
      <c r="J9" s="739">
        <f>J6+J7+J8</f>
        <v>0</v>
      </c>
      <c r="K9" s="631"/>
    </row>
    <row r="10" spans="1:25" ht="21" customHeight="1">
      <c r="A10" s="27" t="s">
        <v>6</v>
      </c>
      <c r="B10" s="27"/>
      <c r="C10" s="159"/>
      <c r="D10" s="159"/>
      <c r="E10" s="159"/>
      <c r="F10" s="159"/>
      <c r="G10" s="159"/>
      <c r="J10" s="447"/>
    </row>
    <row r="11" spans="1:25" ht="14.25" customHeight="1">
      <c r="A11" s="159"/>
      <c r="B11" s="159"/>
      <c r="C11" s="159"/>
      <c r="D11" s="159"/>
      <c r="E11" s="159"/>
      <c r="F11" s="159"/>
      <c r="G11" s="159"/>
    </row>
    <row r="12" spans="1:25" ht="67.5" customHeight="1">
      <c r="A12" s="160" t="s">
        <v>168</v>
      </c>
      <c r="B12" s="533"/>
      <c r="C12" s="957" t="str">
        <f>Cover!$B$2</f>
        <v xml:space="preserve">Substation Package SS01 for extension of 400kV Gorakhpur Substation through GIS bays for termination of 400 KV D/C New Butwal - Gorakhpur Transmission Line under Cross Border Interconnection
</v>
      </c>
      <c r="D12" s="957"/>
      <c r="E12" s="957"/>
      <c r="F12" s="957"/>
      <c r="G12" s="957"/>
      <c r="J12" s="448"/>
    </row>
    <row r="13" spans="1:25" ht="21" customHeight="1" thickBot="1">
      <c r="A13" s="161" t="s">
        <v>169</v>
      </c>
      <c r="B13" s="161"/>
      <c r="C13" s="162"/>
      <c r="D13" s="161"/>
      <c r="E13" s="161"/>
      <c r="F13" s="161"/>
      <c r="G13" s="161"/>
      <c r="H13" s="442"/>
      <c r="K13" s="170"/>
      <c r="L13" s="170"/>
      <c r="M13" s="170"/>
    </row>
    <row r="14" spans="1:25" ht="41.25" customHeight="1" thickBot="1">
      <c r="A14" s="958" t="s">
        <v>170</v>
      </c>
      <c r="B14" s="958"/>
      <c r="C14" s="958"/>
      <c r="D14" s="958"/>
      <c r="E14" s="958"/>
      <c r="F14" s="958"/>
      <c r="G14" s="958"/>
      <c r="H14" s="645" t="s">
        <v>342</v>
      </c>
      <c r="I14" s="645" t="s">
        <v>343</v>
      </c>
      <c r="J14" s="646" t="s">
        <v>344</v>
      </c>
      <c r="K14" s="170"/>
      <c r="L14" s="170"/>
      <c r="M14" s="170"/>
      <c r="N14" s="163"/>
    </row>
    <row r="15" spans="1:25" ht="56.25" customHeight="1">
      <c r="B15" s="165">
        <v>1</v>
      </c>
      <c r="C15" s="962" t="s">
        <v>334</v>
      </c>
      <c r="D15" s="960"/>
      <c r="E15" s="960"/>
      <c r="F15" s="961"/>
      <c r="G15" s="166"/>
      <c r="H15" s="708">
        <f>IF(J6=0,0,(G15/J9)*J6)</f>
        <v>0</v>
      </c>
      <c r="I15" s="709">
        <f>IF(J7=0,0,(G15/J9)*J7)</f>
        <v>0</v>
      </c>
      <c r="J15" s="708">
        <f>IF(J8,(G15/J9)*J8,0)</f>
        <v>0</v>
      </c>
      <c r="K15" s="170"/>
      <c r="L15" s="170"/>
      <c r="M15" s="170"/>
    </row>
    <row r="16" spans="1:25" ht="55.5" customHeight="1">
      <c r="B16" s="165">
        <v>2</v>
      </c>
      <c r="C16" s="959" t="s">
        <v>335</v>
      </c>
      <c r="D16" s="960"/>
      <c r="E16" s="960"/>
      <c r="F16" s="961"/>
      <c r="G16" s="167"/>
      <c r="H16" s="710">
        <f>G16*J6</f>
        <v>0</v>
      </c>
      <c r="I16" s="711">
        <f>G16*J7</f>
        <v>0</v>
      </c>
      <c r="J16" s="710">
        <f>G16*J8</f>
        <v>0</v>
      </c>
      <c r="K16" s="170"/>
      <c r="L16" s="170"/>
      <c r="M16" s="170"/>
    </row>
    <row r="17" spans="1:25" s="168" customFormat="1" ht="39.75" customHeight="1" thickBot="1">
      <c r="B17" s="169">
        <v>3</v>
      </c>
      <c r="C17" s="952" t="s">
        <v>171</v>
      </c>
      <c r="D17" s="953"/>
      <c r="E17" s="953"/>
      <c r="F17" s="954"/>
      <c r="G17" s="439"/>
      <c r="H17" s="710"/>
      <c r="I17" s="710"/>
      <c r="J17" s="710"/>
      <c r="K17" s="170"/>
      <c r="L17" s="170"/>
      <c r="M17" s="170"/>
      <c r="N17" s="170"/>
      <c r="O17" s="170"/>
      <c r="P17" s="170"/>
      <c r="Q17" s="170"/>
      <c r="R17" s="171"/>
      <c r="S17" s="171"/>
      <c r="T17" s="171"/>
      <c r="U17" s="172"/>
      <c r="V17" s="172"/>
      <c r="W17" s="172"/>
      <c r="X17" s="173"/>
      <c r="Y17" s="173"/>
    </row>
    <row r="18" spans="1:25" s="168" customFormat="1" ht="21" customHeight="1" thickBot="1">
      <c r="B18" s="174"/>
      <c r="C18" s="948" t="s">
        <v>336</v>
      </c>
      <c r="D18" s="949"/>
      <c r="E18" s="949"/>
      <c r="F18" s="175" t="s">
        <v>172</v>
      </c>
      <c r="G18" s="440"/>
      <c r="H18" s="712">
        <f>G18</f>
        <v>0</v>
      </c>
      <c r="I18" s="713"/>
      <c r="J18" s="710"/>
      <c r="K18" s="170"/>
      <c r="L18" s="170"/>
      <c r="M18" s="170"/>
      <c r="N18" s="177"/>
      <c r="O18" s="176"/>
      <c r="P18" s="170"/>
      <c r="Q18" s="170"/>
      <c r="R18" s="171"/>
      <c r="S18" s="171"/>
      <c r="T18" s="171"/>
      <c r="U18" s="172"/>
      <c r="V18" s="172"/>
      <c r="W18" s="172"/>
      <c r="X18" s="173"/>
      <c r="Y18" s="173"/>
    </row>
    <row r="19" spans="1:25" s="168" customFormat="1" ht="33" customHeight="1" thickBot="1">
      <c r="B19" s="174"/>
      <c r="C19" s="941" t="s">
        <v>361</v>
      </c>
      <c r="D19" s="942"/>
      <c r="E19" s="942"/>
      <c r="F19" s="175" t="s">
        <v>172</v>
      </c>
      <c r="G19" s="440"/>
      <c r="H19" s="714"/>
      <c r="I19" s="712">
        <f>G19</f>
        <v>0</v>
      </c>
      <c r="J19" s="715"/>
      <c r="K19" s="170"/>
      <c r="L19" s="170"/>
      <c r="M19" s="170"/>
      <c r="N19" s="177"/>
      <c r="O19" s="176"/>
      <c r="P19" s="170"/>
      <c r="Q19" s="170"/>
      <c r="R19" s="171"/>
      <c r="S19" s="171"/>
      <c r="T19" s="171"/>
      <c r="U19" s="172"/>
      <c r="V19" s="172"/>
      <c r="W19" s="172"/>
      <c r="X19" s="173"/>
      <c r="Y19" s="173"/>
    </row>
    <row r="20" spans="1:25" s="168" customFormat="1" ht="21" customHeight="1" thickBot="1">
      <c r="B20" s="174"/>
      <c r="C20" s="948" t="s">
        <v>337</v>
      </c>
      <c r="D20" s="949"/>
      <c r="E20" s="949"/>
      <c r="F20" s="175" t="s">
        <v>172</v>
      </c>
      <c r="G20" s="440"/>
      <c r="H20" s="710"/>
      <c r="I20" s="709"/>
      <c r="J20" s="712">
        <f>G20</f>
        <v>0</v>
      </c>
      <c r="K20" s="170"/>
      <c r="L20" s="170"/>
      <c r="M20" s="170"/>
      <c r="N20" s="177"/>
      <c r="O20" s="176"/>
      <c r="P20" s="170"/>
      <c r="Q20" s="170"/>
      <c r="R20" s="171"/>
      <c r="S20" s="171"/>
      <c r="T20" s="171"/>
      <c r="U20" s="172"/>
      <c r="V20" s="172"/>
      <c r="W20" s="172"/>
      <c r="X20" s="173"/>
      <c r="Y20" s="173"/>
    </row>
    <row r="21" spans="1:25" s="168" customFormat="1" ht="21" customHeight="1">
      <c r="B21" s="174"/>
      <c r="C21" s="948" t="s">
        <v>338</v>
      </c>
      <c r="D21" s="949"/>
      <c r="E21" s="949"/>
      <c r="F21" s="175" t="s">
        <v>172</v>
      </c>
      <c r="G21" s="449"/>
      <c r="H21" s="710"/>
      <c r="I21" s="711"/>
      <c r="J21" s="708"/>
      <c r="K21" s="170"/>
      <c r="L21" s="170"/>
      <c r="M21" s="170"/>
      <c r="N21" s="177"/>
      <c r="O21" s="176"/>
      <c r="P21" s="170"/>
      <c r="Q21" s="170"/>
      <c r="R21" s="171"/>
      <c r="S21" s="171"/>
      <c r="T21" s="171"/>
      <c r="U21" s="172"/>
      <c r="V21" s="172"/>
      <c r="W21" s="172"/>
      <c r="X21" s="173"/>
      <c r="Y21" s="173"/>
    </row>
    <row r="22" spans="1:25" s="168" customFormat="1" ht="21" customHeight="1">
      <c r="B22" s="178"/>
      <c r="C22" s="948" t="s">
        <v>173</v>
      </c>
      <c r="D22" s="949"/>
      <c r="E22" s="949"/>
      <c r="F22" s="179" t="s">
        <v>172</v>
      </c>
      <c r="G22" s="449"/>
      <c r="H22" s="710"/>
      <c r="I22" s="711"/>
      <c r="J22" s="710"/>
      <c r="K22" s="170"/>
      <c r="L22" s="170"/>
      <c r="M22" s="170"/>
      <c r="N22" s="177"/>
      <c r="O22" s="176"/>
      <c r="P22" s="170"/>
      <c r="Q22" s="170"/>
      <c r="R22" s="171"/>
      <c r="S22" s="171"/>
      <c r="T22" s="171"/>
      <c r="U22" s="172"/>
      <c r="V22" s="172"/>
      <c r="W22" s="172"/>
      <c r="X22" s="173"/>
      <c r="Y22" s="173"/>
    </row>
    <row r="23" spans="1:25" s="168" customFormat="1" ht="54.95" customHeight="1" thickBot="1">
      <c r="B23" s="169">
        <v>4</v>
      </c>
      <c r="C23" s="937" t="s">
        <v>174</v>
      </c>
      <c r="D23" s="938"/>
      <c r="E23" s="938"/>
      <c r="F23" s="939"/>
      <c r="G23" s="439"/>
      <c r="H23" s="716"/>
      <c r="I23" s="711"/>
      <c r="J23" s="710"/>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48" t="s">
        <v>336</v>
      </c>
      <c r="D24" s="949"/>
      <c r="E24" s="949"/>
      <c r="F24" s="175" t="s">
        <v>175</v>
      </c>
      <c r="G24" s="441"/>
      <c r="H24" s="717">
        <f>G24*J6</f>
        <v>0</v>
      </c>
      <c r="I24" s="713"/>
      <c r="J24" s="710"/>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43" t="s">
        <v>361</v>
      </c>
      <c r="D25" s="944"/>
      <c r="E25" s="944"/>
      <c r="F25" s="175" t="s">
        <v>175</v>
      </c>
      <c r="G25" s="441"/>
      <c r="H25" s="718"/>
      <c r="I25" s="712">
        <f>G25*J7</f>
        <v>0</v>
      </c>
      <c r="J25" s="715"/>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48" t="s">
        <v>337</v>
      </c>
      <c r="D26" s="949"/>
      <c r="E26" s="949"/>
      <c r="F26" s="175" t="s">
        <v>175</v>
      </c>
      <c r="G26" s="441"/>
      <c r="H26" s="716"/>
      <c r="I26" s="709"/>
      <c r="J26" s="712">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48" t="s">
        <v>338</v>
      </c>
      <c r="D27" s="949"/>
      <c r="E27" s="949"/>
      <c r="F27" s="175" t="s">
        <v>175</v>
      </c>
      <c r="G27" s="450"/>
      <c r="H27" s="716"/>
      <c r="I27" s="711"/>
      <c r="J27" s="708"/>
      <c r="K27" s="170"/>
      <c r="L27" s="170"/>
      <c r="M27" s="170"/>
      <c r="N27" s="170"/>
      <c r="O27" s="170"/>
      <c r="P27" s="170"/>
      <c r="Q27" s="170"/>
      <c r="R27" s="171"/>
      <c r="S27" s="171"/>
      <c r="T27" s="171"/>
      <c r="U27" s="172"/>
      <c r="V27" s="172"/>
      <c r="W27" s="172"/>
      <c r="X27" s="173"/>
      <c r="Y27" s="173"/>
    </row>
    <row r="28" spans="1:25" s="168" customFormat="1" ht="21" customHeight="1">
      <c r="A28" s="180"/>
      <c r="B28" s="178"/>
      <c r="C28" s="950" t="s">
        <v>173</v>
      </c>
      <c r="D28" s="951"/>
      <c r="E28" s="951"/>
      <c r="F28" s="179" t="s">
        <v>175</v>
      </c>
      <c r="G28" s="450"/>
      <c r="H28" s="716"/>
      <c r="I28" s="711"/>
      <c r="J28" s="710"/>
      <c r="K28" s="170"/>
      <c r="L28" s="170"/>
      <c r="M28" s="170"/>
      <c r="N28" s="170"/>
      <c r="O28" s="170"/>
      <c r="P28" s="170"/>
      <c r="Q28" s="170"/>
      <c r="R28" s="171"/>
      <c r="S28" s="171"/>
      <c r="T28" s="171"/>
      <c r="U28" s="172"/>
      <c r="V28" s="172"/>
      <c r="W28" s="172"/>
      <c r="X28" s="173"/>
      <c r="Y28" s="173"/>
    </row>
    <row r="29" spans="1:25" s="168" customFormat="1" hidden="1">
      <c r="A29" s="180"/>
      <c r="B29" s="181"/>
      <c r="C29" s="935" t="s">
        <v>176</v>
      </c>
      <c r="D29" s="936"/>
      <c r="E29" s="936"/>
      <c r="F29" s="936"/>
      <c r="G29" s="936"/>
      <c r="H29" s="719"/>
      <c r="I29" s="719"/>
      <c r="J29" s="719"/>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45" t="s">
        <v>177</v>
      </c>
      <c r="D30" s="945"/>
      <c r="E30" s="945"/>
      <c r="F30" s="945"/>
      <c r="G30" s="945"/>
      <c r="H30" s="720"/>
      <c r="I30" s="720"/>
      <c r="J30" s="720"/>
      <c r="K30" s="170"/>
      <c r="L30" s="170"/>
      <c r="M30" s="170"/>
      <c r="N30" s="170"/>
      <c r="O30" s="170"/>
      <c r="P30" s="170"/>
      <c r="Q30" s="170"/>
      <c r="R30" s="171"/>
      <c r="S30" s="171"/>
      <c r="T30" s="171"/>
      <c r="U30" s="172"/>
      <c r="V30" s="172"/>
      <c r="W30" s="172"/>
      <c r="X30" s="173"/>
      <c r="Y30" s="173"/>
    </row>
    <row r="31" spans="1:25" s="168" customFormat="1" ht="48.75" hidden="1" customHeight="1">
      <c r="A31" s="180"/>
      <c r="B31" s="946"/>
      <c r="C31" s="946"/>
      <c r="D31" s="946"/>
      <c r="E31" s="946"/>
      <c r="F31" s="946"/>
      <c r="G31" s="946"/>
      <c r="H31" s="721">
        <f>SUM(H15:H28)</f>
        <v>0</v>
      </c>
      <c r="I31" s="721">
        <f>SUM(I15:I28)</f>
        <v>0</v>
      </c>
      <c r="J31" s="721">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45" t="s">
        <v>178</v>
      </c>
      <c r="D32" s="947"/>
      <c r="E32" s="947"/>
      <c r="F32" s="947"/>
      <c r="G32" s="947"/>
      <c r="H32" s="722" t="e">
        <f>(1-(H31/I2))</f>
        <v>#DIV/0!</v>
      </c>
      <c r="I32" s="722" t="e">
        <f>(1-(I31/I3))</f>
        <v>#DIV/0!</v>
      </c>
      <c r="J32" s="723"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40" t="s">
        <v>339</v>
      </c>
      <c r="B33" s="940"/>
      <c r="C33" s="940"/>
      <c r="D33" s="940"/>
      <c r="E33" s="940"/>
      <c r="F33" s="940"/>
      <c r="G33" s="940"/>
      <c r="H33" s="724"/>
      <c r="I33" s="724"/>
      <c r="J33" s="724"/>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724"/>
      <c r="I34" s="724"/>
      <c r="J34" s="724"/>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725">
        <f>SUM(H15:H26)</f>
        <v>0</v>
      </c>
      <c r="I35" s="726">
        <f>SUM(I15:I26)</f>
        <v>0</v>
      </c>
      <c r="J35" s="727">
        <f>SUM(J15:J26)</f>
        <v>0</v>
      </c>
      <c r="K35" s="455"/>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48">
        <f>IF(J6=0,0,1-(H35/J6))</f>
        <v>0</v>
      </c>
      <c r="I36" s="648">
        <f>IF(J7=0,0,1-(I35/J7))</f>
        <v>0</v>
      </c>
      <c r="J36" s="649">
        <f>IF(J8=0,0,1-(J35/J8))</f>
        <v>0</v>
      </c>
      <c r="K36" s="623" t="s">
        <v>362</v>
      </c>
    </row>
    <row r="37" spans="1:25" ht="19.5" customHeight="1">
      <c r="A37" s="190"/>
      <c r="B37" s="190"/>
      <c r="C37" s="191"/>
      <c r="D37" s="189"/>
      <c r="E37" s="187"/>
      <c r="F37" s="187"/>
      <c r="G37" s="617"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68" t="str">
        <f>'Sch-7'!C21:D21</f>
        <v xml:space="preserve">  </v>
      </c>
      <c r="D39" s="194"/>
      <c r="E39" s="195" t="s">
        <v>183</v>
      </c>
      <c r="F39" s="732">
        <f>'Names of Bidder'!D24</f>
        <v>0</v>
      </c>
      <c r="G39" s="733"/>
      <c r="H39" s="448"/>
    </row>
    <row r="40" spans="1:25" ht="23.25" customHeight="1">
      <c r="A40" s="197" t="s">
        <v>184</v>
      </c>
      <c r="B40" s="197"/>
      <c r="C40" s="669" t="str">
        <f>'Sch-7'!C22:D22</f>
        <v/>
      </c>
      <c r="D40" s="198"/>
      <c r="E40" s="195" t="s">
        <v>185</v>
      </c>
      <c r="F40" s="732">
        <f>'Names of Bidder'!D25</f>
        <v>0</v>
      </c>
      <c r="G40" s="733"/>
      <c r="H40" s="153"/>
    </row>
  </sheetData>
  <sheetProtection password="CC6F" sheet="1" formatColumns="0" formatRows="0" selectLockedCells="1"/>
  <customSheetViews>
    <customSheetView guid="{858F61A7-D995-4540-8BB4-0D5C12D88289}" showPageBreaks="1" zeroValues="0" printArea="1" hiddenRows="1" hiddenColumns="1" view="pageBreakPreview" topLeftCell="A13">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CA9345C4-09FE-4F27-BFD9-3D9BCD2DED09}" showPageBreaks="1" zeroValues="0" printArea="1" hiddenRows="1" hiddenColumns="1" view="pageBreakPreview" topLeftCell="A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7AB1F867-F01E-4EB9-A93D-DDCFDB9AA444}" showPageBreaks="1" zeroValues="0" printArea="1" hiddenRows="1" hiddenColumns="1" view="pageBreakPreview" topLeftCell="A6">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8"/>
      <headerFooter alignWithMargins="0">
        <oddFooter>&amp;R&amp;"Book Antiqua,Bold"&amp;10Letter of Discount  / Page &amp;P of &amp;N</oddFooter>
      </headerFooter>
    </customSheetView>
    <customSheetView guid="{497EA202-A8B8-45C5-9E6C-C3CD104F3979}" showPageBreaks="1" zeroValues="0" printArea="1" hiddenRows="1" hiddenColumns="1" view="pageBreakPreview">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 guid="{D5521983-A70D-48A3-9506-C0263CBBC57D}" showPageBreaks="1" zeroValues="0" printArea="1" hiddenRows="1" hiddenColumns="1" view="pageBreakPreview" topLeftCell="A6">
      <selection activeCell="G15" sqref="G15"/>
      <pageMargins left="0.72" right="0.49" top="0.62" bottom="0.52" header="0.32" footer="0.27"/>
      <pageSetup scale="77" orientation="portrait" r:id="rId11"/>
      <headerFooter alignWithMargins="0">
        <oddFooter>&amp;R&amp;"Book Antiqua,Bold"&amp;10Letter of Discount  / Page &amp;P of &amp;N</oddFooter>
      </headerFooter>
    </customSheetView>
    <customSheetView guid="{12A89170-4F84-482D-A3C5-7890082E7B73}" showPageBreaks="1" zeroValues="0" printArea="1" hiddenRows="1" hiddenColumns="1" view="pageBreakPreview" topLeftCell="A6">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3"/>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63" t="s">
        <v>186</v>
      </c>
      <c r="B2" s="963"/>
      <c r="C2" s="963"/>
      <c r="D2" s="963"/>
      <c r="E2" s="188"/>
    </row>
    <row r="3" spans="1:6">
      <c r="A3" s="199"/>
      <c r="B3" s="200"/>
      <c r="C3" s="200"/>
      <c r="D3" s="200"/>
      <c r="E3" s="200"/>
    </row>
    <row r="4" spans="1:6" ht="30">
      <c r="A4" s="201" t="s">
        <v>187</v>
      </c>
      <c r="B4" s="202" t="s">
        <v>188</v>
      </c>
      <c r="C4" s="201" t="s">
        <v>140</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858F61A7-D995-4540-8BB4-0D5C12D88289}" state="hidden" topLeftCell="A4">
      <selection activeCell="D6" sqref="D6"/>
      <pageMargins left="0.75" right="0.75" top="0.65" bottom="1" header="0.5" footer="0.5"/>
      <pageSetup orientation="portrait" r:id="rId1"/>
      <headerFooter alignWithMargins="0"/>
    </customSheetView>
    <customSheetView guid="{CCA37BAE-906F-43D5-9FD9-B13563E4B9D7}" state="hidden" topLeftCell="A4">
      <selection activeCell="D6" sqref="D6"/>
      <pageMargins left="0.75" right="0.75" top="0.65" bottom="1" header="0.5" footer="0.5"/>
      <pageSetup orientation="portrait" r:id="rId2"/>
      <headerFooter alignWithMargins="0"/>
    </customSheetView>
    <customSheetView guid="{CA9345C4-09FE-4F27-BFD9-3D9BCD2DED09}" state="hidden" topLeftCell="A4">
      <selection activeCell="D6" sqref="D6"/>
      <pageMargins left="0.75" right="0.75" top="0.65" bottom="1" header="0.5" footer="0.5"/>
      <pageSetup orientation="portrait" r:id="rId3"/>
      <headerFooter alignWithMargins="0"/>
    </customSheetView>
    <customSheetView guid="{7AB1F867-F01E-4EB9-A93D-DDCFDB9AA444}" state="hidden" topLeftCell="A4">
      <selection activeCell="D6" sqref="D6"/>
      <pageMargins left="0.75" right="0.75" top="0.65" bottom="1" header="0.5" footer="0.5"/>
      <pageSetup orientation="portrait" r:id="rId4"/>
      <headerFooter alignWithMargins="0"/>
    </customSheetView>
    <customSheetView guid="{B96E710B-6DD7-4DE1-95AB-C9EE060CD030}" state="hidden" topLeftCell="A4">
      <selection activeCell="D6" sqref="D6"/>
      <pageMargins left="0.75" right="0.75" top="0.65" bottom="1" header="0.5" footer="0.5"/>
      <pageSetup orientation="portrait" r:id="rId5"/>
      <headerFooter alignWithMargins="0"/>
    </customSheetView>
    <customSheetView guid="{357C9841-BEC3-434B-AC63-C04FB4321BA3}"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99CA2F10-F926-46DC-8609-4EAE5B9F3585}" state="hidden" topLeftCell="A4">
      <selection activeCell="D6" sqref="D6"/>
      <pageMargins left="0.75" right="0.75" top="0.65" bottom="1" header="0.5" footer="0.5"/>
      <pageSetup orientation="portrait" r:id="rId8"/>
      <headerFooter alignWithMargins="0"/>
    </customSheetView>
    <customSheetView guid="{497EA202-A8B8-45C5-9E6C-C3CD104F3979}" state="hidden" topLeftCell="A4">
      <selection activeCell="D6" sqref="D6"/>
      <pageMargins left="0.75" right="0.75" top="0.65" bottom="1" header="0.5" footer="0.5"/>
      <pageSetup orientation="portrait" r:id="rId9"/>
      <headerFooter alignWithMargins="0"/>
    </customSheetView>
    <customSheetView guid="{63D51328-7CBC-4A1E-B96D-BAE91416501B}" state="hidden" topLeftCell="A4">
      <selection activeCell="D6" sqref="D6"/>
      <pageMargins left="0.75" right="0.75" top="0.65" bottom="1" header="0.5" footer="0.5"/>
      <pageSetup orientation="portrait" r:id="rId10"/>
      <headerFooter alignWithMargins="0"/>
    </customSheetView>
    <customSheetView guid="{D5521983-A70D-48A3-9506-C0263CBBC57D}" state="hidden" topLeftCell="A4">
      <selection activeCell="D6" sqref="D6"/>
      <pageMargins left="0.75" right="0.75" top="0.65" bottom="1" header="0.5" footer="0.5"/>
      <pageSetup orientation="portrait" r:id="rId11"/>
      <headerFooter alignWithMargins="0"/>
    </customSheetView>
    <customSheetView guid="{12A89170-4F84-482D-A3C5-7890082E7B73}" state="hidden" topLeftCell="A4">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63" t="s">
        <v>197</v>
      </c>
      <c r="B2" s="963"/>
      <c r="C2" s="963"/>
      <c r="D2" s="964"/>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858F61A7-D995-4540-8BB4-0D5C12D88289}" state="hidden" topLeftCell="A13">
      <selection activeCell="D6" sqref="D6"/>
      <pageMargins left="0.75" right="0.75" top="0.65" bottom="1" header="0.5" footer="0.5"/>
      <pageSetup orientation="portrait" r:id="rId1"/>
      <headerFooter alignWithMargins="0"/>
    </customSheetView>
    <customSheetView guid="{CCA37BAE-906F-43D5-9FD9-B13563E4B9D7}" state="hidden" topLeftCell="A13">
      <selection activeCell="D6" sqref="D6"/>
      <pageMargins left="0.75" right="0.75" top="0.65" bottom="1" header="0.5" footer="0.5"/>
      <pageSetup orientation="portrait" r:id="rId2"/>
      <headerFooter alignWithMargins="0"/>
    </customSheetView>
    <customSheetView guid="{CA9345C4-09FE-4F27-BFD9-3D9BCD2DED09}" state="hidden" topLeftCell="A13">
      <selection activeCell="D6" sqref="D6"/>
      <pageMargins left="0.75" right="0.75" top="0.65" bottom="1" header="0.5" footer="0.5"/>
      <pageSetup orientation="portrait" r:id="rId3"/>
      <headerFooter alignWithMargins="0"/>
    </customSheetView>
    <customSheetView guid="{7AB1F867-F01E-4EB9-A93D-DDCFDB9AA444}" state="hidden" topLeftCell="A13">
      <selection activeCell="D6" sqref="D6"/>
      <pageMargins left="0.75" right="0.75" top="0.65" bottom="1" header="0.5" footer="0.5"/>
      <pageSetup orientation="portrait" r:id="rId4"/>
      <headerFooter alignWithMargins="0"/>
    </customSheetView>
    <customSheetView guid="{B96E710B-6DD7-4DE1-95AB-C9EE060CD030}" state="hidden" topLeftCell="A13">
      <selection activeCell="D6" sqref="D6"/>
      <pageMargins left="0.75" right="0.75" top="0.65" bottom="1" header="0.5" footer="0.5"/>
      <pageSetup orientation="portrait" r:id="rId5"/>
      <headerFooter alignWithMargins="0"/>
    </customSheetView>
    <customSheetView guid="{357C9841-BEC3-434B-AC63-C04FB4321BA3}"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99CA2F10-F926-46DC-8609-4EAE5B9F3585}" state="hidden" topLeftCell="A13">
      <selection activeCell="D6" sqref="D6"/>
      <pageMargins left="0.75" right="0.75" top="0.65" bottom="1" header="0.5" footer="0.5"/>
      <pageSetup orientation="portrait" r:id="rId8"/>
      <headerFooter alignWithMargins="0"/>
    </customSheetView>
    <customSheetView guid="{497EA202-A8B8-45C5-9E6C-C3CD104F3979}" state="hidden" topLeftCell="A13">
      <selection activeCell="D6" sqref="D6"/>
      <pageMargins left="0.75" right="0.75" top="0.65" bottom="1" header="0.5" footer="0.5"/>
      <pageSetup orientation="portrait" r:id="rId9"/>
      <headerFooter alignWithMargins="0"/>
    </customSheetView>
    <customSheetView guid="{63D51328-7CBC-4A1E-B96D-BAE91416501B}" state="hidden" topLeftCell="A13">
      <selection activeCell="D6" sqref="D6"/>
      <pageMargins left="0.75" right="0.75" top="0.65" bottom="1" header="0.5" footer="0.5"/>
      <pageSetup orientation="portrait" r:id="rId10"/>
      <headerFooter alignWithMargins="0"/>
    </customSheetView>
    <customSheetView guid="{D5521983-A70D-48A3-9506-C0263CBBC57D}" state="hidden" topLeftCell="A13">
      <selection activeCell="D6" sqref="D6"/>
      <pageMargins left="0.75" right="0.75" top="0.65" bottom="1" header="0.5" footer="0.5"/>
      <pageSetup orientation="portrait" r:id="rId11"/>
      <headerFooter alignWithMargins="0"/>
    </customSheetView>
    <customSheetView guid="{12A89170-4F84-482D-A3C5-7890082E7B73}" state="hidden" topLeftCell="A13">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63" t="s">
        <v>201</v>
      </c>
      <c r="B2" s="963"/>
      <c r="C2" s="963"/>
      <c r="D2" s="963"/>
      <c r="E2" s="964"/>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858F61A7-D995-4540-8BB4-0D5C12D88289}" state="hidden" topLeftCell="A5">
      <selection activeCell="D11" sqref="D11"/>
      <pageMargins left="0.75" right="0.62" top="0.65" bottom="1" header="0.5" footer="0.5"/>
      <pageSetup orientation="portrait" r:id="rId1"/>
      <headerFooter alignWithMargins="0"/>
    </customSheetView>
    <customSheetView guid="{CCA37BAE-906F-43D5-9FD9-B13563E4B9D7}" state="hidden" topLeftCell="A5">
      <selection activeCell="D11" sqref="D11"/>
      <pageMargins left="0.75" right="0.62" top="0.65" bottom="1" header="0.5" footer="0.5"/>
      <pageSetup orientation="portrait" r:id="rId2"/>
      <headerFooter alignWithMargins="0"/>
    </customSheetView>
    <customSheetView guid="{CA9345C4-09FE-4F27-BFD9-3D9BCD2DED09}" state="hidden" topLeftCell="A5">
      <selection activeCell="D11" sqref="D11"/>
      <pageMargins left="0.75" right="0.62" top="0.65" bottom="1" header="0.5" footer="0.5"/>
      <pageSetup orientation="portrait" r:id="rId3"/>
      <headerFooter alignWithMargins="0"/>
    </customSheetView>
    <customSheetView guid="{7AB1F867-F01E-4EB9-A93D-DDCFDB9AA444}" state="hidden" topLeftCell="A5">
      <selection activeCell="D11" sqref="D11"/>
      <pageMargins left="0.75" right="0.62" top="0.65" bottom="1" header="0.5" footer="0.5"/>
      <pageSetup orientation="portrait" r:id="rId4"/>
      <headerFooter alignWithMargins="0"/>
    </customSheetView>
    <customSheetView guid="{B96E710B-6DD7-4DE1-95AB-C9EE060CD030}" state="hidden" topLeftCell="A5">
      <selection activeCell="D11" sqref="D11"/>
      <pageMargins left="0.75" right="0.62" top="0.65" bottom="1" header="0.5" footer="0.5"/>
      <pageSetup orientation="portrait" r:id="rId5"/>
      <headerFooter alignWithMargins="0"/>
    </customSheetView>
    <customSheetView guid="{357C9841-BEC3-434B-AC63-C04FB4321BA3}"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99CA2F10-F926-46DC-8609-4EAE5B9F3585}" state="hidden" topLeftCell="A5">
      <selection activeCell="D11" sqref="D11"/>
      <pageMargins left="0.75" right="0.62" top="0.65" bottom="1" header="0.5" footer="0.5"/>
      <pageSetup orientation="portrait" r:id="rId8"/>
      <headerFooter alignWithMargins="0"/>
    </customSheetView>
    <customSheetView guid="{497EA202-A8B8-45C5-9E6C-C3CD104F3979}" state="hidden" topLeftCell="A5">
      <selection activeCell="D11" sqref="D11"/>
      <pageMargins left="0.75" right="0.62" top="0.65" bottom="1" header="0.5" footer="0.5"/>
      <pageSetup orientation="portrait" r:id="rId9"/>
      <headerFooter alignWithMargins="0"/>
    </customSheetView>
    <customSheetView guid="{63D51328-7CBC-4A1E-B96D-BAE91416501B}" state="hidden" topLeftCell="A5">
      <selection activeCell="D11" sqref="D11"/>
      <pageMargins left="0.75" right="0.62" top="0.65" bottom="1" header="0.5" footer="0.5"/>
      <pageSetup orientation="portrait" r:id="rId10"/>
      <headerFooter alignWithMargins="0"/>
    </customSheetView>
    <customSheetView guid="{D5521983-A70D-48A3-9506-C0263CBBC57D}" state="hidden" topLeftCell="A5">
      <selection activeCell="D11" sqref="D11"/>
      <pageMargins left="0.75" right="0.62" top="0.65" bottom="1" header="0.5" footer="0.5"/>
      <pageSetup orientation="portrait" r:id="rId11"/>
      <headerFooter alignWithMargins="0"/>
    </customSheetView>
    <customSheetView guid="{12A89170-4F84-482D-A3C5-7890082E7B73}" state="hidden" topLeftCell="A5">
      <selection activeCell="D11" sqref="D11"/>
      <pageMargins left="0.75" right="0.62" top="0.65" bottom="1" header="0.5" footer="0.5"/>
      <pageSetup orientation="portrait" r:id="rId12"/>
      <headerFooter alignWithMargins="0"/>
    </customSheetView>
  </customSheetViews>
  <mergeCells count="1">
    <mergeCell ref="A2:E2"/>
  </mergeCells>
  <pageMargins left="0.75" right="0.62" top="0.65" bottom="1" header="0.5" footer="0.5"/>
  <pageSetup orientation="portrait" r:id="rId13"/>
  <headerFooter alignWithMargins="0"/>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view="pageBreakPreview" topLeftCell="A40"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Specification No.: 5002002330/CONSULTANCY GIVEN/DOM/A06-CC CS -7</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25">
      <c r="A3" s="983" t="s">
        <v>213</v>
      </c>
      <c r="B3" s="983"/>
      <c r="C3" s="983"/>
      <c r="D3" s="983"/>
      <c r="E3" s="983"/>
      <c r="F3" s="983"/>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84"/>
      <c r="D5" s="984"/>
      <c r="E5" s="984"/>
      <c r="F5" s="984"/>
      <c r="AE5" s="222">
        <v>5</v>
      </c>
      <c r="AF5" s="222" t="s">
        <v>216</v>
      </c>
      <c r="AI5" s="222">
        <v>5</v>
      </c>
      <c r="AJ5" s="221" t="s">
        <v>219</v>
      </c>
    </row>
    <row r="6" spans="1:36">
      <c r="A6" s="224" t="s">
        <v>220</v>
      </c>
      <c r="B6" s="974" t="str">
        <f>'Names of Bidder'!D27&amp;'Names of Bidder'!E27&amp;'Names of Bidder'!F27</f>
        <v/>
      </c>
      <c r="C6" s="974"/>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59.25" customHeight="1">
      <c r="A15" s="600" t="s">
        <v>228</v>
      </c>
      <c r="B15" s="601"/>
      <c r="C15" s="985" t="str">
        <f>Cover!B2</f>
        <v xml:space="preserve">Substation Package SS01 for extension of 400kV Gorakhpur Substation through GIS bays for termination of 400 KV D/C New Butwal - Gorakhpur Transmission Line under Cross Border Interconnection
</v>
      </c>
      <c r="D15" s="985"/>
      <c r="E15" s="985"/>
      <c r="F15" s="985"/>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81"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81"/>
      <c r="D17" s="981"/>
      <c r="E17" s="981"/>
      <c r="F17" s="981"/>
      <c r="H17" s="705" t="s">
        <v>305</v>
      </c>
      <c r="Z17" s="233"/>
      <c r="AA17" s="234"/>
      <c r="AB17" s="235"/>
      <c r="AC17" s="236"/>
      <c r="AE17" s="222">
        <v>17</v>
      </c>
      <c r="AF17" s="222" t="s">
        <v>216</v>
      </c>
    </row>
    <row r="18" spans="1:41" ht="24.75" customHeight="1">
      <c r="A18" s="232"/>
      <c r="B18" s="981"/>
      <c r="C18" s="981"/>
      <c r="D18" s="981"/>
      <c r="E18" s="981"/>
      <c r="F18" s="981"/>
      <c r="H18" s="706">
        <f>ROUND('Sch-6 (After Discount)'!D28,2)</f>
        <v>0</v>
      </c>
      <c r="I18" s="219" t="s">
        <v>474</v>
      </c>
      <c r="Z18" s="233"/>
      <c r="AA18" s="234"/>
      <c r="AB18" s="235"/>
      <c r="AC18" s="236"/>
    </row>
    <row r="19" spans="1:41" ht="21.75" customHeight="1">
      <c r="A19" s="232"/>
      <c r="B19" s="981"/>
      <c r="C19" s="981"/>
      <c r="D19" s="981"/>
      <c r="E19" s="981"/>
      <c r="F19" s="981"/>
      <c r="H19" s="707" t="str">
        <f>'N-W (Cr.)'!P4</f>
        <v/>
      </c>
      <c r="N19" s="219" t="s">
        <v>473</v>
      </c>
      <c r="Z19" s="233"/>
      <c r="AA19" s="234"/>
      <c r="AB19" s="235"/>
      <c r="AC19" s="236"/>
    </row>
    <row r="20" spans="1:41" ht="39" customHeight="1">
      <c r="B20" s="982" t="s">
        <v>230</v>
      </c>
      <c r="C20" s="982"/>
      <c r="D20" s="982"/>
      <c r="E20" s="982"/>
      <c r="F20" s="982"/>
      <c r="H20" s="218" t="s">
        <v>304</v>
      </c>
      <c r="AE20" s="222">
        <v>18</v>
      </c>
      <c r="AF20" s="222" t="s">
        <v>216</v>
      </c>
    </row>
    <row r="21" spans="1:41" s="218" customFormat="1" ht="27.75" customHeight="1">
      <c r="A21" s="237">
        <v>2</v>
      </c>
      <c r="B21" s="980" t="s">
        <v>231</v>
      </c>
      <c r="C21" s="980"/>
      <c r="D21" s="980"/>
      <c r="E21" s="980"/>
      <c r="F21" s="980"/>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75" t="s">
        <v>232</v>
      </c>
      <c r="C22" s="975"/>
      <c r="D22" s="975"/>
      <c r="E22" s="975"/>
      <c r="F22" s="975"/>
      <c r="AE22" s="222">
        <v>20</v>
      </c>
      <c r="AF22" s="222" t="s">
        <v>216</v>
      </c>
    </row>
    <row r="23" spans="1:41" ht="36.75" customHeight="1">
      <c r="B23" s="979" t="s">
        <v>233</v>
      </c>
      <c r="C23" s="979"/>
      <c r="D23" s="975" t="s">
        <v>234</v>
      </c>
      <c r="E23" s="975"/>
      <c r="F23" s="975"/>
      <c r="AE23" s="222">
        <v>21</v>
      </c>
      <c r="AF23" s="222" t="s">
        <v>209</v>
      </c>
    </row>
    <row r="24" spans="1:41" ht="33" customHeight="1">
      <c r="B24" s="979" t="s">
        <v>235</v>
      </c>
      <c r="C24" s="979"/>
      <c r="D24" s="231" t="s">
        <v>306</v>
      </c>
      <c r="E24" s="231"/>
      <c r="F24" s="231"/>
      <c r="AE24" s="222">
        <v>22</v>
      </c>
      <c r="AF24" s="222" t="s">
        <v>216</v>
      </c>
    </row>
    <row r="25" spans="1:41" ht="27.95" customHeight="1">
      <c r="B25" s="979" t="s">
        <v>236</v>
      </c>
      <c r="C25" s="979"/>
      <c r="D25" s="231" t="s">
        <v>237</v>
      </c>
      <c r="E25" s="231"/>
      <c r="F25" s="231"/>
      <c r="H25" s="240" t="str">
        <f>'[6]Names of Bidder'!D6</f>
        <v>Sole Bidder</v>
      </c>
      <c r="AE25" s="222">
        <v>23</v>
      </c>
      <c r="AF25" s="222" t="s">
        <v>216</v>
      </c>
    </row>
    <row r="26" spans="1:41" ht="27.95" customHeight="1">
      <c r="B26" s="979" t="s">
        <v>238</v>
      </c>
      <c r="C26" s="979"/>
      <c r="D26" s="231" t="s">
        <v>239</v>
      </c>
      <c r="E26" s="231"/>
      <c r="F26" s="231"/>
      <c r="AE26" s="222">
        <v>24</v>
      </c>
      <c r="AF26" s="222" t="s">
        <v>216</v>
      </c>
    </row>
    <row r="27" spans="1:41" ht="27.95" customHeight="1">
      <c r="B27" s="979" t="s">
        <v>240</v>
      </c>
      <c r="C27" s="979"/>
      <c r="D27" s="231" t="s">
        <v>241</v>
      </c>
      <c r="E27" s="231"/>
      <c r="F27" s="231"/>
      <c r="AE27" s="222">
        <v>25</v>
      </c>
      <c r="AF27" s="222" t="s">
        <v>216</v>
      </c>
    </row>
    <row r="28" spans="1:41" ht="27.95" customHeight="1">
      <c r="B28" s="979" t="s">
        <v>242</v>
      </c>
      <c r="C28" s="979"/>
      <c r="D28" s="231" t="s">
        <v>243</v>
      </c>
      <c r="E28" s="231"/>
      <c r="F28" s="231"/>
      <c r="AE28" s="222">
        <v>26</v>
      </c>
      <c r="AF28" s="222" t="s">
        <v>216</v>
      </c>
    </row>
    <row r="29" spans="1:41" ht="27.95" customHeight="1">
      <c r="B29" s="979" t="s">
        <v>29</v>
      </c>
      <c r="C29" s="979"/>
      <c r="D29" s="231" t="s">
        <v>244</v>
      </c>
      <c r="E29" s="231"/>
      <c r="F29" s="231"/>
      <c r="AE29" s="222">
        <v>27</v>
      </c>
      <c r="AF29" s="222" t="s">
        <v>216</v>
      </c>
    </row>
    <row r="30" spans="1:41" ht="98.25" customHeight="1">
      <c r="A30" s="241">
        <v>2.2000000000000002</v>
      </c>
      <c r="B30" s="975" t="s">
        <v>245</v>
      </c>
      <c r="C30" s="975"/>
      <c r="D30" s="975"/>
      <c r="E30" s="975"/>
      <c r="F30" s="975"/>
      <c r="AE30" s="222">
        <v>28</v>
      </c>
      <c r="AF30" s="222" t="s">
        <v>216</v>
      </c>
    </row>
    <row r="31" spans="1:41" ht="68.25" customHeight="1">
      <c r="A31" s="241">
        <v>2.2999999999999998</v>
      </c>
      <c r="B31" s="975" t="s">
        <v>246</v>
      </c>
      <c r="C31" s="975"/>
      <c r="D31" s="975"/>
      <c r="E31" s="975"/>
      <c r="F31" s="975"/>
      <c r="AE31" s="222">
        <v>29</v>
      </c>
      <c r="AF31" s="222" t="s">
        <v>216</v>
      </c>
    </row>
    <row r="32" spans="1:41" ht="129.75" customHeight="1">
      <c r="A32" s="241">
        <v>2.4</v>
      </c>
      <c r="B32" s="975" t="s">
        <v>247</v>
      </c>
      <c r="C32" s="975"/>
      <c r="D32" s="975"/>
      <c r="E32" s="975"/>
      <c r="F32" s="975"/>
      <c r="AE32" s="222">
        <v>30</v>
      </c>
      <c r="AF32" s="222" t="s">
        <v>216</v>
      </c>
    </row>
    <row r="33" spans="1:32" ht="79.5" customHeight="1">
      <c r="A33" s="241">
        <v>2.5</v>
      </c>
      <c r="B33" s="975" t="s">
        <v>248</v>
      </c>
      <c r="C33" s="975"/>
      <c r="D33" s="975"/>
      <c r="E33" s="975"/>
      <c r="F33" s="975"/>
      <c r="AE33" s="222">
        <v>31</v>
      </c>
      <c r="AF33" s="222" t="s">
        <v>209</v>
      </c>
    </row>
    <row r="34" spans="1:32" ht="81" customHeight="1">
      <c r="A34" s="232">
        <v>3</v>
      </c>
      <c r="B34" s="975" t="s">
        <v>249</v>
      </c>
      <c r="C34" s="975"/>
      <c r="D34" s="975"/>
      <c r="E34" s="975"/>
      <c r="F34" s="975"/>
    </row>
    <row r="35" spans="1:32" ht="63" customHeight="1">
      <c r="A35" s="232">
        <v>3.1</v>
      </c>
      <c r="B35" s="976" t="s">
        <v>307</v>
      </c>
      <c r="C35" s="976"/>
      <c r="D35" s="976"/>
      <c r="E35" s="976"/>
      <c r="F35" s="976"/>
    </row>
    <row r="36" spans="1:32" ht="114" customHeight="1">
      <c r="A36" s="241">
        <v>3.2</v>
      </c>
      <c r="B36" s="975" t="s">
        <v>308</v>
      </c>
      <c r="C36" s="975"/>
      <c r="D36" s="975"/>
      <c r="E36" s="975"/>
      <c r="F36" s="975"/>
    </row>
    <row r="37" spans="1:32" ht="65.25" customHeight="1">
      <c r="A37" s="241">
        <v>3.3</v>
      </c>
      <c r="B37" s="975" t="s">
        <v>309</v>
      </c>
      <c r="C37" s="975"/>
      <c r="D37" s="975"/>
      <c r="E37" s="975"/>
      <c r="F37" s="975"/>
    </row>
    <row r="38" spans="1:32" ht="66" customHeight="1">
      <c r="A38" s="232">
        <v>4</v>
      </c>
      <c r="B38" s="975" t="s">
        <v>250</v>
      </c>
      <c r="C38" s="975"/>
      <c r="D38" s="975"/>
      <c r="E38" s="975"/>
      <c r="F38" s="975"/>
    </row>
    <row r="39" spans="1:32" ht="93" customHeight="1">
      <c r="A39" s="232">
        <v>5</v>
      </c>
      <c r="B39" s="975" t="s">
        <v>251</v>
      </c>
      <c r="C39" s="975"/>
      <c r="D39" s="975"/>
      <c r="E39" s="975"/>
      <c r="F39" s="975"/>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'[6]Sch-1'!B8</f>
        <v>For and on behalf of test</v>
      </c>
    </row>
    <row r="44" spans="1:32" ht="30" customHeight="1">
      <c r="A44" s="219"/>
      <c r="B44" s="219"/>
      <c r="C44" s="248"/>
      <c r="D44" s="219"/>
      <c r="E44" s="249" t="s">
        <v>252</v>
      </c>
      <c r="F44" s="224"/>
    </row>
    <row r="45" spans="1:32" ht="30" customHeight="1">
      <c r="A45" s="250" t="s">
        <v>182</v>
      </c>
      <c r="B45" s="978" t="str">
        <f>Discount!C39</f>
        <v xml:space="preserve">  </v>
      </c>
      <c r="C45" s="974"/>
      <c r="D45" s="219"/>
      <c r="E45" s="249" t="s">
        <v>183</v>
      </c>
      <c r="F45" s="458">
        <f>Discount!F39</f>
        <v>0</v>
      </c>
    </row>
    <row r="46" spans="1:32" ht="30" customHeight="1">
      <c r="A46" s="250" t="s">
        <v>184</v>
      </c>
      <c r="B46" s="973" t="str">
        <f>Discount!C40</f>
        <v/>
      </c>
      <c r="C46" s="974"/>
      <c r="D46" s="219"/>
      <c r="E46" s="249" t="s">
        <v>185</v>
      </c>
      <c r="F46" s="458">
        <f>Discount!F40</f>
        <v>0</v>
      </c>
    </row>
    <row r="47" spans="1:32" ht="30" customHeight="1">
      <c r="B47" s="218"/>
      <c r="D47" s="219"/>
      <c r="E47" s="249" t="s">
        <v>253</v>
      </c>
    </row>
    <row r="48" spans="1:32" ht="30" customHeight="1">
      <c r="A48" s="977" t="str">
        <f>IF(H25="Sole Bidder", "", "In case of bid from a Joint Venture, name &amp; designation of representative of JV partner is to be provided and Bid Form is also to be signed by him.")</f>
        <v/>
      </c>
      <c r="B48" s="977"/>
      <c r="C48" s="977"/>
      <c r="D48" s="977"/>
      <c r="E48" s="977"/>
      <c r="F48" s="977"/>
    </row>
    <row r="49" spans="1:41" ht="30" customHeight="1">
      <c r="A49" s="251"/>
      <c r="B49" s="251"/>
      <c r="C49" s="242" t="str">
        <f>IF(Z2="2 or More", "Other Partner-2", "")</f>
        <v/>
      </c>
      <c r="D49" s="251"/>
      <c r="E49" s="252"/>
      <c r="F49" s="252" t="str">
        <f>IF(Z2=1,"Other Partner",IF(Z2="2 or More","Other Partner-1",""))</f>
        <v/>
      </c>
    </row>
    <row r="50" spans="1:41" ht="30"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30"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69" t="s">
        <v>255</v>
      </c>
      <c r="B55" s="969"/>
      <c r="C55" s="969"/>
      <c r="D55" s="967"/>
      <c r="E55" s="968"/>
      <c r="F55" s="968"/>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72"/>
      <c r="B56" s="972"/>
      <c r="C56" s="972"/>
      <c r="D56" s="261"/>
      <c r="E56" s="261"/>
      <c r="F56" s="261"/>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70"/>
      <c r="B57" s="970"/>
      <c r="C57" s="970"/>
      <c r="D57" s="261"/>
      <c r="E57" s="261"/>
      <c r="F57" s="261"/>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65" t="s">
        <v>256</v>
      </c>
      <c r="B58" s="965"/>
      <c r="C58" s="965"/>
      <c r="D58" s="967"/>
      <c r="E58" s="968"/>
      <c r="F58" s="968"/>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65" t="s">
        <v>257</v>
      </c>
      <c r="B59" s="965"/>
      <c r="C59" s="965"/>
      <c r="D59" s="967"/>
      <c r="E59" s="968"/>
      <c r="F59" s="968"/>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65" t="s">
        <v>258</v>
      </c>
      <c r="B60" s="965"/>
      <c r="C60" s="965"/>
      <c r="D60" s="967"/>
      <c r="E60" s="968"/>
      <c r="F60" s="968"/>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69" t="s">
        <v>259</v>
      </c>
      <c r="B61" s="969"/>
      <c r="C61" s="969"/>
      <c r="D61" s="967"/>
      <c r="E61" s="968"/>
      <c r="F61" s="968"/>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72"/>
      <c r="B62" s="972"/>
      <c r="C62" s="972"/>
      <c r="D62" s="261"/>
      <c r="E62" s="261"/>
      <c r="F62" s="261"/>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70"/>
      <c r="B63" s="970"/>
      <c r="C63" s="970"/>
      <c r="D63" s="261"/>
      <c r="E63" s="261"/>
      <c r="F63" s="261"/>
      <c r="H63" s="224"/>
      <c r="Z63" s="238"/>
      <c r="AA63" s="238"/>
      <c r="AB63" s="238"/>
      <c r="AC63" s="238"/>
      <c r="AD63" s="239"/>
      <c r="AE63" s="222"/>
      <c r="AF63" s="222"/>
      <c r="AG63" s="239"/>
      <c r="AH63" s="239"/>
      <c r="AI63" s="239"/>
      <c r="AJ63" s="239"/>
      <c r="AK63" s="239"/>
      <c r="AL63" s="239"/>
      <c r="AM63" s="239"/>
      <c r="AN63" s="239"/>
      <c r="AO63" s="239"/>
    </row>
    <row r="64" spans="1:41" s="218" customFormat="1" ht="60.75" customHeight="1">
      <c r="A64" s="97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971"/>
      <c r="C64" s="971"/>
      <c r="D64" s="971"/>
      <c r="E64" s="971"/>
      <c r="F64" s="971"/>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966" t="s">
        <v>114</v>
      </c>
      <c r="B65" s="966"/>
      <c r="C65" s="966"/>
      <c r="D65" s="966"/>
      <c r="E65" s="966"/>
      <c r="F65" s="966"/>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s="218" customFormat="1" ht="33" customHeight="1">
      <c r="A67" s="224"/>
      <c r="B67" s="224"/>
      <c r="H67" s="224"/>
      <c r="Z67" s="238"/>
      <c r="AA67" s="238"/>
      <c r="AB67" s="238"/>
      <c r="AC67" s="238"/>
      <c r="AD67" s="239"/>
      <c r="AE67" s="222"/>
      <c r="AF67" s="222"/>
      <c r="AG67" s="239"/>
      <c r="AH67" s="239"/>
      <c r="AI67" s="239"/>
      <c r="AJ67" s="239"/>
      <c r="AK67" s="239"/>
      <c r="AL67" s="239"/>
      <c r="AM67" s="239"/>
      <c r="AN67" s="239"/>
      <c r="AO67" s="239"/>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row r="79" spans="1:41">
      <c r="A79" s="224"/>
    </row>
  </sheetData>
  <sheetProtection password="CC6F" sheet="1" formatColumns="0" formatRows="0" selectLockedCells="1"/>
  <customSheetViews>
    <customSheetView guid="{858F61A7-D995-4540-8BB4-0D5C12D88289}" showPageBreaks="1" showGridLines="0" zeroValues="0" fitToPage="1" printArea="1" hiddenColumns="1" view="pageBreakPreview" topLeftCell="A40">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40">
      <selection activeCell="F51" sqref="F51"/>
      <rowBreaks count="1" manualBreakCount="1">
        <brk id="53" max="5" man="1"/>
      </rowBreaks>
      <pageMargins left="0.75" right="0.77" top="0.62" bottom="0.61" header="0.39" footer="0.32"/>
      <pageSetup scale="80" fitToHeight="3" orientation="portrait" r:id="rId2"/>
      <headerFooter alignWithMargins="0">
        <oddFooter>&amp;R&amp;"Book Antiqua,Bold"&amp;8Bid Form (1st Envelope)  / Page &amp;P of &amp;N</oddFooter>
      </headerFooter>
    </customSheetView>
    <customSheetView guid="{CA9345C4-09FE-4F27-BFD9-3D9BCD2DED09}" showPageBreaks="1" showGridLines="0" zeroValues="0" fitToPage="1" printArea="1" hiddenColumns="1" view="pageBreakPreview" topLeftCell="A39">
      <selection activeCell="F51" sqref="F51"/>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7AB1F867-F01E-4EB9-A93D-DDCFDB9AA44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4"/>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497EA202-A8B8-45C5-9E6C-C3CD104F3979}"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D5521983-A70D-48A3-9506-C0263CBBC57D}" showPageBreaks="1" showGridLines="0" zeroValues="0" fitToPage="1" printArea="1" hiddenColumns="1" view="pageBreakPreview" topLeftCell="A22">
      <selection activeCell="F51" sqref="F51"/>
      <rowBreaks count="1" manualBreakCount="1">
        <brk id="53" max="5" man="1"/>
      </rowBreaks>
      <pageMargins left="0.75" right="0.77" top="0.62" bottom="0.61" header="0.39" footer="0.32"/>
      <pageSetup scale="81" fitToHeight="3" orientation="portrait" r:id="rId11"/>
      <headerFooter alignWithMargins="0">
        <oddFooter>&amp;R&amp;"Book Antiqua,Bold"&amp;8Bid Form (1st Envelope)  / Page &amp;P of &amp;N</oddFooter>
      </headerFooter>
    </customSheetView>
    <customSheetView guid="{12A89170-4F84-482D-A3C5-7890082E7B73}"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12"/>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3"/>
  <headerFooter alignWithMargins="0">
    <oddFooter>&amp;R&amp;"Book Antiqua,Bold"&amp;8Bid Form (1st Envelope)  / Page &amp;P of &amp;N</oddFooter>
  </headerFooter>
  <rowBreaks count="1" manualBreakCount="1">
    <brk id="53" max="5"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zoomScaleSheetLayoutView="115" workbookViewId="0">
      <selection activeCell="B3" sqref="B3:E3"/>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85"/>
      <c r="C1" s="786"/>
      <c r="D1" s="786"/>
      <c r="E1" s="787"/>
      <c r="F1" s="37"/>
      <c r="G1" s="38"/>
      <c r="H1" s="39"/>
      <c r="I1" s="39"/>
      <c r="J1" s="40"/>
    </row>
    <row r="2" spans="1:10" ht="106.9" customHeight="1">
      <c r="A2" s="788" t="s">
        <v>43</v>
      </c>
      <c r="B2" s="791" t="str">
        <f>Basic!B1</f>
        <v xml:space="preserve">Substation Package SS01 for extension of 400kV Gorakhpur Substation through GIS bays for termination of 400 KV D/C New Butwal - Gorakhpur Transmission Line under Cross Border Interconnection
</v>
      </c>
      <c r="C2" s="792"/>
      <c r="D2" s="792"/>
      <c r="E2" s="793"/>
      <c r="F2" s="794" t="str">
        <f>Basic!B3</f>
        <v>SS01</v>
      </c>
      <c r="G2" s="38"/>
      <c r="H2" s="39"/>
      <c r="I2" s="39"/>
      <c r="J2" s="40"/>
    </row>
    <row r="3" spans="1:10" ht="23.25" customHeight="1">
      <c r="A3" s="789"/>
      <c r="B3" s="797" t="str">
        <f>Basic!B5</f>
        <v>Specification No.: 5002002330/CONSULTANCY GIVEN/DOM/A06-CC CS -7</v>
      </c>
      <c r="C3" s="798"/>
      <c r="D3" s="798"/>
      <c r="E3" s="799"/>
      <c r="F3" s="795"/>
      <c r="G3" s="38"/>
      <c r="H3" s="39"/>
      <c r="I3" s="39"/>
      <c r="J3" s="40"/>
    </row>
    <row r="4" spans="1:10" ht="39.950000000000003" customHeight="1">
      <c r="A4" s="789"/>
      <c r="B4" s="42">
        <v>1</v>
      </c>
      <c r="C4" s="800" t="s">
        <v>44</v>
      </c>
      <c r="D4" s="800"/>
      <c r="E4" s="801"/>
      <c r="F4" s="795"/>
      <c r="G4" s="43"/>
      <c r="H4" s="44" t="s">
        <v>45</v>
      </c>
      <c r="I4" s="39"/>
      <c r="J4" s="40"/>
    </row>
    <row r="5" spans="1:10" ht="30" customHeight="1">
      <c r="A5" s="789"/>
      <c r="B5" s="42">
        <v>2</v>
      </c>
      <c r="C5" s="800" t="s">
        <v>46</v>
      </c>
      <c r="D5" s="800"/>
      <c r="E5" s="801"/>
      <c r="F5" s="795"/>
      <c r="G5" s="38"/>
      <c r="H5" s="39"/>
      <c r="I5" s="39"/>
      <c r="J5" s="40"/>
    </row>
    <row r="6" spans="1:10" s="45" customFormat="1" ht="30" customHeight="1">
      <c r="A6" s="789"/>
      <c r="B6" s="42">
        <v>3</v>
      </c>
      <c r="C6" s="800" t="s">
        <v>47</v>
      </c>
      <c r="D6" s="800"/>
      <c r="E6" s="801"/>
      <c r="F6" s="795"/>
      <c r="G6" s="38"/>
      <c r="H6" s="39"/>
      <c r="I6" s="39"/>
      <c r="J6" s="39"/>
    </row>
    <row r="7" spans="1:10" ht="52.5" hidden="1" customHeight="1">
      <c r="A7" s="789"/>
      <c r="B7" s="42">
        <v>4</v>
      </c>
      <c r="C7" s="800" t="s">
        <v>48</v>
      </c>
      <c r="D7" s="800"/>
      <c r="E7" s="801"/>
      <c r="F7" s="795"/>
      <c r="G7" s="38"/>
      <c r="H7" s="39"/>
      <c r="I7" s="39"/>
      <c r="J7" s="40"/>
    </row>
    <row r="8" spans="1:10" ht="9.75" customHeight="1">
      <c r="A8" s="789"/>
      <c r="B8" s="46"/>
      <c r="C8" s="47"/>
      <c r="D8" s="47"/>
      <c r="E8" s="48"/>
      <c r="F8" s="795"/>
      <c r="G8" s="38"/>
      <c r="H8" s="39"/>
      <c r="I8" s="39"/>
      <c r="J8" s="40"/>
    </row>
    <row r="9" spans="1:10" ht="23.25" customHeight="1">
      <c r="A9" s="789"/>
      <c r="B9" s="802"/>
      <c r="C9" s="803"/>
      <c r="D9" s="803"/>
      <c r="E9" s="804"/>
      <c r="F9" s="795"/>
      <c r="G9" s="38"/>
      <c r="H9" s="39"/>
      <c r="I9" s="39"/>
      <c r="J9" s="40"/>
    </row>
    <row r="10" spans="1:10" ht="10.5" customHeight="1">
      <c r="A10" s="789"/>
      <c r="B10" s="49"/>
      <c r="C10" s="50"/>
      <c r="D10" s="50"/>
      <c r="E10" s="51"/>
      <c r="F10" s="795"/>
      <c r="G10" s="38"/>
      <c r="H10" s="39"/>
      <c r="I10" s="39"/>
      <c r="J10" s="40"/>
    </row>
    <row r="11" spans="1:10" ht="24" customHeight="1">
      <c r="A11" s="789"/>
      <c r="B11" s="805" t="s">
        <v>49</v>
      </c>
      <c r="C11" s="806"/>
      <c r="D11" s="806"/>
      <c r="E11" s="52"/>
      <c r="F11" s="795"/>
    </row>
    <row r="12" spans="1:10" ht="15.95" customHeight="1">
      <c r="A12" s="790"/>
      <c r="B12" s="807" t="s">
        <v>50</v>
      </c>
      <c r="C12" s="808"/>
      <c r="D12" s="808"/>
      <c r="E12" s="53"/>
      <c r="F12" s="796"/>
      <c r="G12" s="38"/>
      <c r="H12" s="39"/>
      <c r="I12" s="39"/>
      <c r="J12" s="40"/>
    </row>
    <row r="13" spans="1:10" ht="24" customHeight="1">
      <c r="A13" s="779"/>
      <c r="B13" s="780" t="s">
        <v>51</v>
      </c>
      <c r="C13" s="781"/>
      <c r="D13" s="781"/>
      <c r="E13" s="52"/>
      <c r="F13" s="782"/>
      <c r="G13" s="54"/>
      <c r="H13" s="54"/>
      <c r="I13" s="54"/>
      <c r="J13" s="54"/>
    </row>
    <row r="14" spans="1:10" ht="15.95" customHeight="1">
      <c r="A14" s="779"/>
      <c r="B14" s="783" t="s">
        <v>52</v>
      </c>
      <c r="C14" s="784"/>
      <c r="D14" s="784"/>
      <c r="E14" s="55"/>
      <c r="F14" s="782"/>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2awM+5bfOKGHbIbWytkACvAYNLoKrbfHlZTJftBJeCaTScrInMYITkzDkpieZ7tAiirEJchjoY/10Q+Sq1yI+g==" saltValue="Ayk60/MtX9YAH6YAm2exTw==" spinCount="100000" sheet="1" formatColumns="0" formatRows="0" selectLockedCells="1"/>
  <customSheetViews>
    <customSheetView guid="{858F61A7-D995-4540-8BB4-0D5C12D88289}" showGridLines="0" hiddenRows="1">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CA37BAE-906F-43D5-9FD9-B13563E4B9D7}" showGridLines="0" hiddenRows="1">
      <selection activeCell="B3" sqref="B3:E3"/>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CA9345C4-09FE-4F27-BFD9-3D9BCD2DED09}" scale="115" showPageBreaks="1" showGridLines="0" printArea="1" hiddenRows="1" view="pageBreakPreview">
      <selection activeCell="B2" sqref="B2:E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7AB1F867-F01E-4EB9-A93D-DDCFDB9AA44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497EA202-A8B8-45C5-9E6C-C3CD104F3979}"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63D51328-7CBC-4A1E-B96D-BAE91416501B}" showGridLines="0" hiddenRows="1">
      <selection activeCell="C5" sqref="C5:E5"/>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D5521983-A70D-48A3-9506-C0263CBBC57D}"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12A89170-4F84-482D-A3C5-7890082E7B73}" showGridLines="0" hiddenRows="1">
      <selection activeCell="B2" sqref="B2:E2"/>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3"/>
  <headerFooter alignWithMargins="0"/>
  <drawing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7"/>
      <c r="B2" s="338"/>
      <c r="C2" s="339"/>
      <c r="D2" s="340"/>
      <c r="E2" s="341"/>
      <c r="F2" s="385"/>
      <c r="G2" s="385"/>
      <c r="H2" s="321"/>
      <c r="I2" s="342"/>
    </row>
    <row r="3" spans="1:9" ht="16.5">
      <c r="A3" s="310"/>
      <c r="B3" s="311" t="s">
        <v>268</v>
      </c>
      <c r="C3" s="312"/>
      <c r="D3" s="313"/>
      <c r="E3" s="343"/>
      <c r="F3" s="385"/>
      <c r="G3" s="385"/>
      <c r="H3" s="344">
        <f>SUMIF(I1:I2,"Direct",H1:H2)</f>
        <v>0</v>
      </c>
      <c r="I3" s="314"/>
    </row>
    <row r="4" spans="1:9" ht="33">
      <c r="A4" s="310"/>
      <c r="B4" s="311" t="s">
        <v>269</v>
      </c>
      <c r="C4" s="312"/>
      <c r="D4" s="313"/>
      <c r="E4" s="343"/>
      <c r="F4" s="385"/>
      <c r="G4" s="385"/>
      <c r="H4" s="344">
        <f>SUMIF(J1:J2,"Bought-Out",H1:H2)</f>
        <v>0</v>
      </c>
      <c r="I4" s="314"/>
    </row>
    <row r="5" spans="1:9" ht="16.5">
      <c r="A5" s="315"/>
      <c r="B5" s="311" t="s">
        <v>270</v>
      </c>
      <c r="C5" s="316"/>
      <c r="D5" s="317"/>
      <c r="E5" s="318"/>
      <c r="F5" s="318"/>
      <c r="G5" s="318"/>
      <c r="H5" s="345">
        <f>H3+H4</f>
        <v>0</v>
      </c>
      <c r="I5" s="319"/>
    </row>
    <row r="6" spans="1:9" ht="16.5">
      <c r="A6" s="320"/>
      <c r="B6" s="986" t="s">
        <v>271</v>
      </c>
      <c r="C6" s="986"/>
      <c r="D6" s="986"/>
      <c r="E6" s="321"/>
      <c r="F6" s="385"/>
      <c r="G6" s="385"/>
      <c r="H6" s="344" t="e">
        <f>'Sch-7'!#REF!</f>
        <v>#REF!</v>
      </c>
      <c r="I6" s="322"/>
    </row>
    <row r="7" spans="1:9" ht="17.25" thickBot="1">
      <c r="A7" s="323"/>
      <c r="B7" s="987" t="s">
        <v>272</v>
      </c>
      <c r="C7" s="987"/>
      <c r="D7" s="987"/>
      <c r="E7" s="324"/>
      <c r="F7" s="324"/>
      <c r="G7" s="324"/>
      <c r="H7" s="346" t="e">
        <f>H5+H6</f>
        <v>#REF!</v>
      </c>
      <c r="I7" s="325"/>
    </row>
    <row r="8" spans="1:9" ht="16.5">
      <c r="A8" s="988"/>
      <c r="B8" s="988"/>
      <c r="C8" s="988"/>
      <c r="D8" s="988"/>
      <c r="E8" s="988"/>
      <c r="F8" s="988"/>
      <c r="G8" s="988"/>
    </row>
    <row r="9" spans="1:9" ht="15.75">
      <c r="A9" s="4"/>
      <c r="B9" s="989"/>
      <c r="C9" s="989"/>
      <c r="D9" s="989"/>
      <c r="E9" s="989"/>
      <c r="F9" s="989"/>
      <c r="G9" s="989"/>
    </row>
    <row r="10" spans="1:9" ht="16.5">
      <c r="A10" s="326"/>
      <c r="B10" s="326"/>
      <c r="C10" s="326"/>
      <c r="D10" s="326"/>
      <c r="E10" s="326"/>
      <c r="F10" s="326"/>
      <c r="G10" s="326"/>
    </row>
    <row r="11" spans="1:9" ht="90" customHeight="1">
      <c r="A11" s="327" t="s">
        <v>273</v>
      </c>
      <c r="B11" s="990" t="s">
        <v>274</v>
      </c>
      <c r="C11" s="990"/>
      <c r="D11" s="990"/>
      <c r="E11" s="990"/>
      <c r="F11" s="990"/>
      <c r="G11" s="990"/>
      <c r="H11" s="990"/>
      <c r="I11" s="990"/>
    </row>
    <row r="12" spans="1:9" ht="116.25" customHeight="1">
      <c r="A12" s="328" t="s">
        <v>275</v>
      </c>
      <c r="B12" s="991" t="s">
        <v>276</v>
      </c>
      <c r="C12" s="991"/>
      <c r="D12" s="991"/>
      <c r="E12" s="991"/>
      <c r="F12" s="991"/>
      <c r="G12" s="991"/>
      <c r="H12" s="991"/>
      <c r="I12" s="991"/>
    </row>
    <row r="13" spans="1:9" ht="15.75">
      <c r="A13" s="328"/>
      <c r="B13" s="991"/>
      <c r="C13" s="991"/>
      <c r="D13" s="991"/>
      <c r="E13" s="991"/>
      <c r="F13" s="991"/>
      <c r="G13" s="991"/>
    </row>
    <row r="14" spans="1:9" ht="16.5">
      <c r="A14" s="329" t="s">
        <v>161</v>
      </c>
      <c r="B14" s="330" t="str">
        <f>'Names of Bidder'!D$27&amp;"-"&amp; 'Names of Bidder'!E$27&amp;"-" &amp;'Names of Bidder'!F$27</f>
        <v>--</v>
      </c>
      <c r="C14" s="331"/>
      <c r="D14" s="332"/>
      <c r="E14" s="3"/>
      <c r="F14" s="3"/>
      <c r="G14" s="333"/>
    </row>
    <row r="15" spans="1:9" ht="16.5">
      <c r="A15" s="329" t="s">
        <v>162</v>
      </c>
      <c r="B15" s="330" t="str">
        <f>IF('Names of Bidder'!D$28=0, "", 'Names of Bidder'!D$28)</f>
        <v/>
      </c>
      <c r="C15" s="3"/>
      <c r="D15" s="332" t="s">
        <v>143</v>
      </c>
      <c r="E15" s="333" t="str">
        <f>IF('Names of Bidder'!D$24=0, "", 'Names of Bidder'!D$24)</f>
        <v/>
      </c>
      <c r="F15" s="3"/>
      <c r="G15" s="330" t="str">
        <f>'[6]Names of Bidder'!I14&amp;"-"&amp; '[6]Names of Bidder'!J14&amp;"-" &amp;'[6]Names of Bidder'!K14</f>
        <v>--</v>
      </c>
    </row>
    <row r="16" spans="1:9" ht="16.5">
      <c r="A16" s="334"/>
      <c r="B16" s="335"/>
      <c r="C16" s="336"/>
      <c r="D16" s="332" t="s">
        <v>145</v>
      </c>
      <c r="E16" s="333" t="str">
        <f>IF('Names of Bidder'!D$25=0, "", 'Names of Bidder'!D$25)</f>
        <v/>
      </c>
      <c r="F16" s="336"/>
      <c r="G16" s="336"/>
    </row>
    <row r="18" spans="1:11">
      <c r="A18" t="s">
        <v>282</v>
      </c>
    </row>
    <row r="20" spans="1:11" ht="17.25" thickBot="1">
      <c r="A20" s="347"/>
      <c r="B20" s="348" t="s">
        <v>283</v>
      </c>
      <c r="C20" s="349"/>
      <c r="D20" s="348"/>
      <c r="E20" s="324"/>
      <c r="F20" s="324"/>
      <c r="G20" s="324"/>
      <c r="H20" s="350" t="s">
        <v>297</v>
      </c>
    </row>
    <row r="21" spans="1:11" ht="16.5" thickBot="1">
      <c r="A21" s="351"/>
      <c r="B21" s="992"/>
      <c r="C21" s="992"/>
      <c r="D21" s="992"/>
      <c r="E21" s="992"/>
      <c r="F21" s="992"/>
    </row>
    <row r="22" spans="1:11" ht="15.75">
      <c r="A22" s="352"/>
      <c r="B22" s="993"/>
      <c r="C22" s="993"/>
      <c r="D22" s="993"/>
      <c r="E22" s="993"/>
      <c r="F22" s="993"/>
    </row>
    <row r="23" spans="1:11" ht="16.5">
      <c r="A23" s="329" t="s">
        <v>161</v>
      </c>
      <c r="B23" s="330" t="s">
        <v>262</v>
      </c>
      <c r="C23" s="353"/>
      <c r="D23" s="332"/>
      <c r="E23" s="3"/>
      <c r="F23" s="3"/>
    </row>
    <row r="24" spans="1:11" ht="16.5">
      <c r="A24" s="329" t="s">
        <v>162</v>
      </c>
      <c r="B24" s="330" t="s">
        <v>263</v>
      </c>
      <c r="C24" s="4"/>
      <c r="D24" s="332" t="s">
        <v>143</v>
      </c>
      <c r="E24" s="333" t="s">
        <v>284</v>
      </c>
      <c r="F24" s="3"/>
    </row>
    <row r="25" spans="1:11" ht="16.5">
      <c r="A25" s="334"/>
      <c r="B25" s="335"/>
      <c r="C25" s="334"/>
      <c r="D25" s="332" t="s">
        <v>145</v>
      </c>
      <c r="E25" s="333" t="s">
        <v>285</v>
      </c>
      <c r="F25" s="336"/>
    </row>
    <row r="27" spans="1:11">
      <c r="A27" t="s">
        <v>286</v>
      </c>
    </row>
    <row r="29" spans="1:11" ht="16.5">
      <c r="A29" s="354"/>
      <c r="B29" s="355" t="s">
        <v>287</v>
      </c>
      <c r="C29" s="355"/>
      <c r="D29" s="355"/>
      <c r="E29" s="356"/>
      <c r="F29" s="356"/>
      <c r="G29" s="356"/>
      <c r="H29" s="356"/>
      <c r="I29" s="356"/>
      <c r="J29" s="356"/>
      <c r="K29" s="357" t="e">
        <f>SUM(#REF!)</f>
        <v>#REF!</v>
      </c>
    </row>
    <row r="30" spans="1:11" ht="15.75">
      <c r="A30" s="352"/>
      <c r="B30" s="994"/>
      <c r="C30" s="989"/>
      <c r="D30" s="989"/>
      <c r="E30" s="989"/>
      <c r="F30" s="989"/>
      <c r="G30" s="989"/>
    </row>
    <row r="31" spans="1:11" ht="16.5">
      <c r="A31" s="358" t="s">
        <v>161</v>
      </c>
      <c r="B31" s="359" t="s">
        <v>262</v>
      </c>
      <c r="C31" s="360"/>
      <c r="D31" s="361"/>
      <c r="E31" s="362"/>
      <c r="F31" s="362"/>
      <c r="G31" s="7"/>
    </row>
    <row r="32" spans="1:11" ht="16.5">
      <c r="A32" s="358" t="s">
        <v>162</v>
      </c>
      <c r="B32" s="359" t="s">
        <v>263</v>
      </c>
      <c r="C32" s="362"/>
      <c r="D32" s="361" t="s">
        <v>143</v>
      </c>
      <c r="E32" s="363" t="s">
        <v>284</v>
      </c>
      <c r="F32" s="362"/>
      <c r="G32" s="7"/>
    </row>
    <row r="33" spans="1:8" ht="16.5">
      <c r="A33" s="364"/>
      <c r="B33" s="365"/>
      <c r="C33" s="366"/>
      <c r="D33" s="361" t="s">
        <v>145</v>
      </c>
      <c r="E33" s="363" t="s">
        <v>285</v>
      </c>
      <c r="F33" s="366"/>
      <c r="G33" s="7"/>
    </row>
    <row r="35" spans="1:8">
      <c r="A35" t="s">
        <v>290</v>
      </c>
    </row>
    <row r="37" spans="1:8" ht="30">
      <c r="A37" s="367" t="s">
        <v>161</v>
      </c>
      <c r="B37" s="368" t="s">
        <v>260</v>
      </c>
      <c r="C37" s="369"/>
      <c r="D37" s="927" t="s">
        <v>288</v>
      </c>
      <c r="E37" s="927"/>
      <c r="F37" s="995"/>
    </row>
    <row r="38" spans="1:8" ht="30">
      <c r="A38" s="367" t="s">
        <v>162</v>
      </c>
      <c r="B38" s="368" t="s">
        <v>261</v>
      </c>
      <c r="C38" s="24"/>
      <c r="D38" s="927" t="s">
        <v>289</v>
      </c>
      <c r="E38" s="927"/>
      <c r="F38" s="995"/>
    </row>
    <row r="40" spans="1:8">
      <c r="A40" t="s">
        <v>291</v>
      </c>
    </row>
    <row r="42" spans="1:8" ht="30">
      <c r="A42" s="370"/>
      <c r="B42" s="371" t="s">
        <v>292</v>
      </c>
      <c r="C42" s="371"/>
      <c r="D42" s="371"/>
      <c r="E42" s="371"/>
      <c r="F42" s="371"/>
      <c r="G42" s="371"/>
      <c r="H42" s="372" t="s">
        <v>298</v>
      </c>
    </row>
    <row r="43" spans="1:8" ht="16.5">
      <c r="A43" s="373"/>
      <c r="B43" s="374"/>
      <c r="C43" s="374"/>
      <c r="D43" s="374"/>
      <c r="E43" s="374"/>
      <c r="F43" s="374"/>
      <c r="G43" s="375"/>
    </row>
    <row r="44" spans="1:8">
      <c r="A44" s="374"/>
      <c r="B44" s="374"/>
      <c r="C44" s="374"/>
      <c r="D44" s="374"/>
      <c r="E44" s="374"/>
      <c r="F44" s="374"/>
      <c r="G44" s="376"/>
    </row>
    <row r="45" spans="1:8">
      <c r="A45" s="926"/>
      <c r="B45" s="926"/>
      <c r="C45" s="926"/>
      <c r="D45" s="926"/>
      <c r="E45" s="926"/>
      <c r="F45" s="926"/>
      <c r="G45" s="926"/>
    </row>
    <row r="46" spans="1:8">
      <c r="A46" s="377"/>
      <c r="B46" s="377"/>
      <c r="C46" s="927"/>
      <c r="D46" s="927"/>
      <c r="E46" s="927"/>
      <c r="F46" s="927"/>
      <c r="G46" s="927"/>
    </row>
    <row r="47" spans="1:8">
      <c r="A47" s="378" t="s">
        <v>161</v>
      </c>
      <c r="B47" s="379" t="s">
        <v>262</v>
      </c>
      <c r="C47" s="927" t="s">
        <v>293</v>
      </c>
      <c r="D47" s="927"/>
      <c r="E47" s="927"/>
      <c r="F47" s="927"/>
      <c r="G47" s="927"/>
    </row>
    <row r="48" spans="1:8">
      <c r="A48" s="378" t="s">
        <v>162</v>
      </c>
      <c r="B48" s="380" t="s">
        <v>263</v>
      </c>
      <c r="C48" s="927" t="s">
        <v>294</v>
      </c>
      <c r="D48" s="927"/>
      <c r="E48" s="927"/>
      <c r="F48" s="927"/>
      <c r="G48" s="927"/>
    </row>
    <row r="49" spans="1:7" ht="16.5">
      <c r="A49" s="23"/>
      <c r="B49" s="22"/>
      <c r="C49" s="927"/>
      <c r="D49" s="927"/>
      <c r="E49" s="927"/>
      <c r="F49" s="927"/>
      <c r="G49" s="927"/>
    </row>
    <row r="50" spans="1:7" ht="16.5">
      <c r="A50" s="23"/>
      <c r="B50" s="22"/>
      <c r="C50" s="381"/>
      <c r="D50" s="381"/>
      <c r="E50" s="381"/>
      <c r="F50" s="381"/>
      <c r="G50" s="381"/>
    </row>
    <row r="51" spans="1:7" ht="16.5">
      <c r="A51" s="382" t="s">
        <v>295</v>
      </c>
      <c r="B51" s="929" t="s">
        <v>296</v>
      </c>
      <c r="C51" s="929"/>
      <c r="D51" s="929"/>
      <c r="E51" s="929"/>
      <c r="F51" s="929"/>
      <c r="G51" s="383"/>
    </row>
    <row r="52" spans="1:7" ht="16.5">
      <c r="A52" s="384"/>
      <c r="B52" s="26"/>
      <c r="C52" s="26"/>
      <c r="D52" s="26"/>
      <c r="E52" s="26"/>
      <c r="F52" s="26"/>
      <c r="G52" s="26"/>
    </row>
    <row r="60" spans="1:7">
      <c r="B60" t="s">
        <v>264</v>
      </c>
    </row>
    <row r="61" spans="1:7">
      <c r="B61" t="s">
        <v>265</v>
      </c>
    </row>
  </sheetData>
  <customSheetViews>
    <customSheetView guid="{858F61A7-D995-4540-8BB4-0D5C12D88289}"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CA9345C4-09FE-4F27-BFD9-3D9BCD2DED09}" state="hidden">
      <selection activeCell="H42" sqref="H42"/>
      <pageMargins left="0.7" right="0.7" top="0.75" bottom="0.75" header="0.3" footer="0.3"/>
    </customSheetView>
    <customSheetView guid="{7AB1F867-F01E-4EB9-A93D-DDCFDB9AA444}"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497EA202-A8B8-45C5-9E6C-C3CD104F3979}"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D5521983-A70D-48A3-9506-C0263CBBC57D}" state="hidden">
      <selection activeCell="H42" sqref="H42"/>
      <pageMargins left="0.7" right="0.7" top="0.75" bottom="0.75" header="0.3" footer="0.3"/>
    </customSheetView>
    <customSheetView guid="{12A89170-4F84-482D-A3C5-7890082E7B73}"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858F61A7-D995-4540-8BB4-0D5C12D88289}" state="hidden">
      <pageMargins left="0.7" right="0.7" top="0.75" bottom="0.75" header="0.3" footer="0.3"/>
    </customSheetView>
    <customSheetView guid="{CCA37BAE-906F-43D5-9FD9-B13563E4B9D7}" state="hidden">
      <pageMargins left="0.7" right="0.7" top="0.75" bottom="0.75" header="0.3" footer="0.3"/>
    </customSheetView>
    <customSheetView guid="{CA9345C4-09FE-4F27-BFD9-3D9BCD2DED09}" state="hidden">
      <pageMargins left="0.7" right="0.7" top="0.75" bottom="0.75" header="0.3" footer="0.3"/>
    </customSheetView>
    <customSheetView guid="{7AB1F867-F01E-4EB9-A93D-DDCFDB9AA444}"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497EA202-A8B8-45C5-9E6C-C3CD104F3979}" state="hidden">
      <pageMargins left="0.7" right="0.7" top="0.75" bottom="0.75" header="0.3" footer="0.3"/>
    </customSheetView>
    <customSheetView guid="{63D51328-7CBC-4A1E-B96D-BAE91416501B}" state="hidden">
      <pageMargins left="0.7" right="0.7" top="0.75" bottom="0.75" header="0.3" footer="0.3"/>
    </customSheetView>
    <customSheetView guid="{D5521983-A70D-48A3-9506-C0263CBBC57D}" state="hidden">
      <pageMargins left="0.7" right="0.7" top="0.75" bottom="0.75" header="0.3" footer="0.3"/>
    </customSheetView>
    <customSheetView guid="{12A89170-4F84-482D-A3C5-7890082E7B73}"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92" hidden="1" customWidth="1"/>
    <col min="2" max="2" width="13.28515625" style="692" hidden="1" customWidth="1"/>
    <col min="3" max="3" width="0" style="692" hidden="1" customWidth="1"/>
    <col min="4" max="4" width="10.28515625" style="692" hidden="1" customWidth="1"/>
    <col min="5" max="5" width="3.42578125" style="692" hidden="1" customWidth="1"/>
    <col min="6" max="6" width="5.5703125" style="692" hidden="1" customWidth="1"/>
    <col min="7" max="7" width="11.42578125" style="692" hidden="1" customWidth="1"/>
    <col min="8" max="8" width="0" style="692" hidden="1" customWidth="1"/>
    <col min="9" max="9" width="10" style="692" hidden="1" customWidth="1"/>
    <col min="10" max="10" width="3.28515625" style="692" hidden="1" customWidth="1"/>
    <col min="11" max="11" width="5" style="692" hidden="1" customWidth="1"/>
    <col min="12" max="12" width="11.28515625" style="692" hidden="1" customWidth="1"/>
    <col min="13" max="13" width="0" style="692" hidden="1" customWidth="1"/>
    <col min="14" max="14" width="10.28515625" style="692" hidden="1" customWidth="1"/>
    <col min="15" max="15" width="3.7109375" style="692" hidden="1" customWidth="1"/>
    <col min="16" max="16" width="6.42578125" style="692" customWidth="1"/>
    <col min="17" max="17" width="14.85546875" style="692" customWidth="1"/>
    <col min="18" max="18" width="9.140625" style="692" customWidth="1"/>
    <col min="19" max="19" width="12" style="692" customWidth="1"/>
    <col min="20" max="20" width="3.28515625" style="692" hidden="1" customWidth="1"/>
    <col min="21" max="21" width="6.140625" style="692" hidden="1" customWidth="1"/>
    <col min="22" max="22" width="8.5703125" style="692" hidden="1" customWidth="1"/>
    <col min="23" max="23" width="8.42578125" style="692" hidden="1" customWidth="1"/>
    <col min="24" max="24" width="8.85546875" style="692" hidden="1" customWidth="1"/>
    <col min="25" max="116" width="0" style="692" hidden="1" customWidth="1"/>
    <col min="117" max="16384" width="9.140625" style="692"/>
  </cols>
  <sheetData>
    <row r="1" spans="1:27" ht="13.5" thickBot="1">
      <c r="A1" s="1007" t="e">
        <v>#REF!</v>
      </c>
      <c r="B1" s="1008"/>
      <c r="C1" s="672"/>
      <c r="D1" s="673"/>
      <c r="E1" s="697"/>
      <c r="F1" s="1007">
        <v>0</v>
      </c>
      <c r="G1" s="1008"/>
      <c r="H1" s="672"/>
      <c r="I1" s="673"/>
      <c r="K1" s="1007" t="e">
        <v>#REF!</v>
      </c>
      <c r="L1" s="1008"/>
      <c r="M1" s="672"/>
      <c r="N1" s="673"/>
      <c r="P1" s="1007">
        <f>'Sch-6 (After Discount)'!D28</f>
        <v>0</v>
      </c>
      <c r="Q1" s="1008"/>
      <c r="R1" s="672"/>
      <c r="S1" s="673"/>
      <c r="U1" s="696" t="e">
        <v>#REF!</v>
      </c>
    </row>
    <row r="2" spans="1:27">
      <c r="A2" s="1002"/>
      <c r="B2" s="1003"/>
      <c r="C2" s="672"/>
      <c r="D2" s="673"/>
      <c r="E2" s="697"/>
      <c r="F2" s="674"/>
      <c r="G2" s="672"/>
      <c r="H2" s="672"/>
      <c r="I2" s="673"/>
      <c r="K2" s="674"/>
      <c r="L2" s="672"/>
      <c r="M2" s="672"/>
      <c r="N2" s="673"/>
      <c r="P2" s="674"/>
      <c r="Q2" s="672"/>
      <c r="R2" s="672"/>
      <c r="S2" s="673"/>
      <c r="U2" s="696" t="e">
        <v>#REF!</v>
      </c>
    </row>
    <row r="3" spans="1:27">
      <c r="A3" s="674"/>
      <c r="B3" s="675"/>
      <c r="C3" s="675"/>
      <c r="D3" s="676"/>
      <c r="E3" s="698"/>
      <c r="F3" s="674"/>
      <c r="G3" s="675"/>
      <c r="H3" s="675"/>
      <c r="I3" s="676"/>
      <c r="K3" s="674"/>
      <c r="L3" s="675"/>
      <c r="M3" s="675"/>
      <c r="N3" s="676"/>
      <c r="P3" s="674"/>
      <c r="Q3" s="675"/>
      <c r="R3" s="675"/>
      <c r="S3" s="676"/>
      <c r="U3" s="696" t="s">
        <v>467</v>
      </c>
    </row>
    <row r="4" spans="1:27" ht="66.75" customHeight="1" thickBot="1">
      <c r="A4" s="1004" t="e">
        <f>IF(OR((A1&gt;9999999999),(A1&lt;0)),"Invalid Entry - More than 1000 crore OR -ve value",IF(A1=0, "",+CONCATENATE(#REF!,B11,D11,B10,D10,B9,D9,B8,D8,B7,D7,B6," Only")))</f>
        <v>#REF!</v>
      </c>
      <c r="B4" s="1005"/>
      <c r="C4" s="1005"/>
      <c r="D4" s="1006"/>
      <c r="E4" s="699"/>
      <c r="F4" s="1004" t="str">
        <f>IF(OR((F1&gt;9999999999),(F1&lt;0)),"Invalid Entry - More than 1000 crore OR -ve value",IF(F1=0, "",+CONCATENATE(U1, G11,I11,G10,I10,G9,I9,G8,I8,G7,I7,G6," Only")))</f>
        <v/>
      </c>
      <c r="G4" s="1005"/>
      <c r="H4" s="1005"/>
      <c r="I4" s="1006"/>
      <c r="J4" s="699"/>
      <c r="K4" s="1004" t="e">
        <f>IF(OR((K1&gt;9999999999),(K1&lt;0)),"Invalid Entry - More than 1000 crore OR -ve value",IF(K1=0, "",+CONCATENATE(U2, L11,N11,L10,N10,L9,N9,L8,N8,L7,N7,L6," Only")))</f>
        <v>#REF!</v>
      </c>
      <c r="L4" s="1005"/>
      <c r="M4" s="1005"/>
      <c r="N4" s="1006"/>
      <c r="P4" s="1004" t="str">
        <f>IF(OR((P1&gt;9999999999),(P1&lt;0)),"Invalid Entry - More than 1000 crore OR -ve value",IF(P1=0, "",+CONCATENATE(U3, Q11,S11,Q10,S10,Q9,S9,Q8,S8,Q7,S7,Q6," Only")))</f>
        <v/>
      </c>
      <c r="Q4" s="1005"/>
      <c r="R4" s="1005"/>
      <c r="S4" s="1006"/>
      <c r="U4" s="996" t="e">
        <f>VLOOKUP(1,T28:Y43,6,FALSE)</f>
        <v>#N/A</v>
      </c>
      <c r="V4" s="996"/>
      <c r="W4" s="996"/>
      <c r="X4" s="996"/>
      <c r="Y4" s="996"/>
      <c r="Z4" s="996"/>
      <c r="AA4" s="996"/>
    </row>
    <row r="5" spans="1:27" ht="18.75" customHeight="1" thickBot="1">
      <c r="A5" s="674"/>
      <c r="B5" s="675"/>
      <c r="C5" s="675"/>
      <c r="D5" s="676"/>
      <c r="E5" s="698"/>
      <c r="F5" s="674"/>
      <c r="G5" s="675"/>
      <c r="H5" s="675"/>
      <c r="I5" s="676"/>
      <c r="K5" s="674"/>
      <c r="L5" s="675"/>
      <c r="M5" s="675"/>
      <c r="N5" s="676"/>
      <c r="P5" s="674"/>
      <c r="Q5" s="675"/>
      <c r="R5" s="675"/>
      <c r="S5" s="676"/>
      <c r="U5" s="997" t="e">
        <f>VLOOKUP(1,T8:Y23,6,FALSE)</f>
        <v>#N/A</v>
      </c>
      <c r="V5" s="998"/>
      <c r="W5" s="998"/>
      <c r="X5" s="998"/>
      <c r="Y5" s="998"/>
      <c r="Z5" s="998"/>
      <c r="AA5" s="999"/>
    </row>
    <row r="6" spans="1:27">
      <c r="A6" s="677" t="e">
        <f>-INT(A1/100)*100+ROUND(A1,0)</f>
        <v>#REF!</v>
      </c>
      <c r="B6" s="675" t="e">
        <f t="shared" ref="B6:B11" si="0">IF(A6=0,"",LOOKUP(A6,$A$13:$A$112,$B$13:$B$112))</f>
        <v>#REF!</v>
      </c>
      <c r="C6" s="675"/>
      <c r="D6" s="678"/>
      <c r="E6" s="698"/>
      <c r="F6" s="677">
        <f>-INT(F1/100)*100+ROUND(F1,0)</f>
        <v>0</v>
      </c>
      <c r="G6" s="675" t="str">
        <f t="shared" ref="G6:G11" si="1">IF(F6=0,"",LOOKUP(F6,$A$13:$A$112,$B$13:$B$112))</f>
        <v/>
      </c>
      <c r="H6" s="675"/>
      <c r="I6" s="678"/>
      <c r="K6" s="677" t="e">
        <f>-INT(K1/100)*100+ROUND(K1,0)</f>
        <v>#REF!</v>
      </c>
      <c r="L6" s="675" t="e">
        <f t="shared" ref="L6:L11" si="2">IF(K6=0,"",LOOKUP(K6,$A$13:$A$112,$B$13:$B$112))</f>
        <v>#REF!</v>
      </c>
      <c r="M6" s="675"/>
      <c r="N6" s="678"/>
      <c r="P6" s="677">
        <f>-INT(P1/100)*100+ROUND(P1,0)</f>
        <v>0</v>
      </c>
      <c r="Q6" s="675" t="str">
        <f t="shared" ref="Q6:Q11" si="3">IF(P6=0,"",LOOKUP(P6,$A$13:$A$112,$B$13:$B$112))</f>
        <v/>
      </c>
      <c r="R6" s="675"/>
      <c r="S6" s="678"/>
    </row>
    <row r="7" spans="1:27">
      <c r="A7" s="677" t="e">
        <f>-INT(A1/1000)*10+INT(A1/100)</f>
        <v>#REF!</v>
      </c>
      <c r="B7" s="675" t="e">
        <f t="shared" si="0"/>
        <v>#REF!</v>
      </c>
      <c r="C7" s="675"/>
      <c r="D7" s="678" t="e">
        <f>+IF(B7="",""," Hundred ")</f>
        <v>#REF!</v>
      </c>
      <c r="E7" s="698"/>
      <c r="F7" s="677">
        <f>-INT(F1/1000)*10+INT(F1/100)</f>
        <v>0</v>
      </c>
      <c r="G7" s="675" t="str">
        <f t="shared" si="1"/>
        <v/>
      </c>
      <c r="H7" s="675"/>
      <c r="I7" s="678" t="str">
        <f>+IF(G7="",""," Hundred ")</f>
        <v/>
      </c>
      <c r="K7" s="677" t="e">
        <f>-INT(K1/1000)*10+INT(K1/100)</f>
        <v>#REF!</v>
      </c>
      <c r="L7" s="675" t="e">
        <f t="shared" si="2"/>
        <v>#REF!</v>
      </c>
      <c r="M7" s="675"/>
      <c r="N7" s="678" t="e">
        <f>+IF(L7="",""," Hundred ")</f>
        <v>#REF!</v>
      </c>
      <c r="P7" s="677">
        <f>-INT(P1/1000)*10+INT(P1/100)</f>
        <v>0</v>
      </c>
      <c r="Q7" s="675" t="str">
        <f t="shared" si="3"/>
        <v/>
      </c>
      <c r="R7" s="675"/>
      <c r="S7" s="678" t="str">
        <f>+IF(Q7="",""," Hundred ")</f>
        <v/>
      </c>
    </row>
    <row r="8" spans="1:27">
      <c r="A8" s="677" t="e">
        <f>-INT(A1/100000)*100+INT(A1/1000)</f>
        <v>#REF!</v>
      </c>
      <c r="B8" s="675" t="e">
        <f t="shared" si="0"/>
        <v>#REF!</v>
      </c>
      <c r="C8" s="675"/>
      <c r="D8" s="678" t="e">
        <f>IF((B8=""),IF(C8="",""," Thousand ")," Thousand ")</f>
        <v>#REF!</v>
      </c>
      <c r="E8" s="698"/>
      <c r="F8" s="677">
        <f>-INT(F1/100000)*100+INT(F1/1000)</f>
        <v>0</v>
      </c>
      <c r="G8" s="675" t="str">
        <f t="shared" si="1"/>
        <v/>
      </c>
      <c r="H8" s="675"/>
      <c r="I8" s="678" t="str">
        <f>IF((G8=""),IF(H8="",""," Thousand ")," Thousand ")</f>
        <v/>
      </c>
      <c r="K8" s="677" t="e">
        <f>-INT(K1/100000)*100+INT(K1/1000)</f>
        <v>#REF!</v>
      </c>
      <c r="L8" s="675" t="e">
        <f t="shared" si="2"/>
        <v>#REF!</v>
      </c>
      <c r="M8" s="675"/>
      <c r="N8" s="678" t="e">
        <f>IF((L8=""),IF(M8="",""," Thousand ")," Thousand ")</f>
        <v>#REF!</v>
      </c>
      <c r="P8" s="677">
        <f>-INT(P1/100000)*100+INT(P1/1000)</f>
        <v>0</v>
      </c>
      <c r="Q8" s="675" t="str">
        <f t="shared" si="3"/>
        <v/>
      </c>
      <c r="R8" s="675"/>
      <c r="S8" s="678" t="str">
        <f>IF((Q8=""),IF(R8="",""," Thousand ")," Thousand ")</f>
        <v/>
      </c>
      <c r="T8" s="700" t="e">
        <f>IF(Y8="",0, 1)</f>
        <v>#REF!</v>
      </c>
      <c r="U8" s="692">
        <v>0</v>
      </c>
      <c r="V8" s="692">
        <v>0</v>
      </c>
      <c r="W8" s="692">
        <v>0</v>
      </c>
      <c r="X8" s="692">
        <v>0</v>
      </c>
      <c r="Y8" s="701" t="e">
        <f>IF(AND($A$1=0,$F$1=0,$K$1=0,$P$1=0)," Zero only", "")</f>
        <v>#REF!</v>
      </c>
      <c r="AA8" s="692" t="s">
        <v>468</v>
      </c>
    </row>
    <row r="9" spans="1:27">
      <c r="A9" s="677" t="e">
        <f>-INT(A1/10000000)*100+INT(A1/100000)</f>
        <v>#REF!</v>
      </c>
      <c r="B9" s="675" t="e">
        <f t="shared" si="0"/>
        <v>#REF!</v>
      </c>
      <c r="C9" s="675"/>
      <c r="D9" s="678" t="e">
        <f>IF((B9=""),IF(C9="",""," Lac ")," Lac ")</f>
        <v>#REF!</v>
      </c>
      <c r="E9" s="698"/>
      <c r="F9" s="677">
        <f>-INT(F1/10000000)*100+INT(F1/100000)</f>
        <v>0</v>
      </c>
      <c r="G9" s="675" t="str">
        <f t="shared" si="1"/>
        <v/>
      </c>
      <c r="H9" s="675"/>
      <c r="I9" s="678" t="str">
        <f>IF((G9=""),IF(H9="",""," Lac ")," Lac ")</f>
        <v/>
      </c>
      <c r="K9" s="677" t="e">
        <f>-INT(K1/10000000)*100+INT(K1/100000)</f>
        <v>#REF!</v>
      </c>
      <c r="L9" s="675" t="e">
        <f t="shared" si="2"/>
        <v>#REF!</v>
      </c>
      <c r="M9" s="675"/>
      <c r="N9" s="678" t="e">
        <f>IF((L9=""),IF(M9="",""," Lac ")," Lac ")</f>
        <v>#REF!</v>
      </c>
      <c r="P9" s="677">
        <f>-INT(P1/10000000)*100+INT(P1/100000)</f>
        <v>0</v>
      </c>
      <c r="Q9" s="675" t="str">
        <f t="shared" si="3"/>
        <v/>
      </c>
      <c r="R9" s="675"/>
      <c r="S9" s="678" t="str">
        <f>IF((Q9=""),IF(R9="",""," Lac ")," Lac ")</f>
        <v/>
      </c>
      <c r="T9" s="700" t="e">
        <f t="shared" ref="T9:T23" si="4">IF(Y9="",0, 1)</f>
        <v>#REF!</v>
      </c>
      <c r="U9" s="692">
        <v>0</v>
      </c>
      <c r="V9" s="692">
        <v>0</v>
      </c>
      <c r="W9" s="692">
        <v>0</v>
      </c>
      <c r="X9" s="692">
        <v>1</v>
      </c>
      <c r="Y9" s="702" t="e">
        <f>IF(AND($A$1=0,$F$1=0,$K$1=0,$P$1&gt;0),$P$4, "")</f>
        <v>#REF!</v>
      </c>
    </row>
    <row r="10" spans="1:27">
      <c r="A10" s="677" t="e">
        <f>-INT(A1/1000000000)*100+INT(A1/10000000)</f>
        <v>#REF!</v>
      </c>
      <c r="B10" s="679" t="e">
        <f t="shared" si="0"/>
        <v>#REF!</v>
      </c>
      <c r="C10" s="675"/>
      <c r="D10" s="678" t="e">
        <f>IF((B10=""),IF(C10="",""," Crore ")," Crore ")</f>
        <v>#REF!</v>
      </c>
      <c r="E10" s="698"/>
      <c r="F10" s="677">
        <f>-INT(F1/1000000000)*100+INT(F1/10000000)</f>
        <v>0</v>
      </c>
      <c r="G10" s="679" t="str">
        <f t="shared" si="1"/>
        <v/>
      </c>
      <c r="H10" s="675"/>
      <c r="I10" s="678" t="str">
        <f>IF((G10=""),IF(H10="",""," Crore ")," Crore ")</f>
        <v/>
      </c>
      <c r="K10" s="677" t="e">
        <f>-INT(K1/1000000000)*100+INT(K1/10000000)</f>
        <v>#REF!</v>
      </c>
      <c r="L10" s="679" t="e">
        <f t="shared" si="2"/>
        <v>#REF!</v>
      </c>
      <c r="M10" s="675"/>
      <c r="N10" s="678" t="e">
        <f>IF((L10=""),IF(M10="",""," Crore ")," Crore ")</f>
        <v>#REF!</v>
      </c>
      <c r="P10" s="677">
        <f>-INT(P1/1000000000)*100+INT(P1/10000000)</f>
        <v>0</v>
      </c>
      <c r="Q10" s="679" t="str">
        <f t="shared" si="3"/>
        <v/>
      </c>
      <c r="R10" s="675"/>
      <c r="S10" s="678" t="str">
        <f>IF((Q10=""),IF(R10="",""," Crore ")," Crore ")</f>
        <v/>
      </c>
      <c r="T10" s="700" t="e">
        <f t="shared" si="4"/>
        <v>#REF!</v>
      </c>
      <c r="U10" s="692">
        <v>0</v>
      </c>
      <c r="V10" s="692">
        <v>0</v>
      </c>
      <c r="W10" s="692">
        <v>1</v>
      </c>
      <c r="X10" s="692">
        <v>0</v>
      </c>
      <c r="Y10" s="702" t="e">
        <f>IF(AND($A$1=0,$F$1=0,$K$1&gt;0,$P$1=0),$K$4, "")</f>
        <v>#REF!</v>
      </c>
    </row>
    <row r="11" spans="1:27">
      <c r="A11" s="680" t="e">
        <f>-INT(A1/10000000000)*1000+INT(A1/1000000000)</f>
        <v>#REF!</v>
      </c>
      <c r="B11" s="679" t="e">
        <f t="shared" si="0"/>
        <v>#REF!</v>
      </c>
      <c r="C11" s="675"/>
      <c r="D11" s="678" t="e">
        <f>IF((B11=""),IF(C11="",""," Hundred ")," Hundred ")</f>
        <v>#REF!</v>
      </c>
      <c r="E11" s="698"/>
      <c r="F11" s="680">
        <f>-INT(F1/10000000000)*1000+INT(F1/1000000000)</f>
        <v>0</v>
      </c>
      <c r="G11" s="679" t="str">
        <f t="shared" si="1"/>
        <v/>
      </c>
      <c r="H11" s="675"/>
      <c r="I11" s="678" t="str">
        <f>IF((G11=""),IF(H11="",""," Hundred ")," Hundred ")</f>
        <v/>
      </c>
      <c r="K11" s="680" t="e">
        <f>-INT(K1/10000000000)*1000+INT(K1/1000000000)</f>
        <v>#REF!</v>
      </c>
      <c r="L11" s="679" t="e">
        <f t="shared" si="2"/>
        <v>#REF!</v>
      </c>
      <c r="M11" s="675"/>
      <c r="N11" s="678" t="e">
        <f>IF((L11=""),IF(M11="",""," Hundred ")," Hundred ")</f>
        <v>#REF!</v>
      </c>
      <c r="P11" s="680">
        <f>-INT(P1/10000000000)*1000+INT(P1/1000000000)</f>
        <v>0</v>
      </c>
      <c r="Q11" s="679" t="str">
        <f t="shared" si="3"/>
        <v/>
      </c>
      <c r="R11" s="675"/>
      <c r="S11" s="678" t="str">
        <f>IF((Q11=""),IF(R11="",""," Hundred ")," Hundred ")</f>
        <v/>
      </c>
      <c r="T11" s="700" t="e">
        <f t="shared" si="4"/>
        <v>#REF!</v>
      </c>
      <c r="U11" s="692">
        <v>0</v>
      </c>
      <c r="V11" s="692">
        <v>0</v>
      </c>
      <c r="W11" s="692">
        <v>1</v>
      </c>
      <c r="X11" s="692">
        <v>1</v>
      </c>
      <c r="Y11" s="702" t="e">
        <f>IF(AND($A$1=0,$F$1=0,$K$1&gt;0,$P$1&gt;0),$K$4&amp;$AA$8&amp;$P$4, "")</f>
        <v>#REF!</v>
      </c>
    </row>
    <row r="12" spans="1:27">
      <c r="A12" s="681"/>
      <c r="B12" s="675"/>
      <c r="C12" s="675"/>
      <c r="D12" s="676"/>
      <c r="E12" s="698"/>
      <c r="F12" s="681"/>
      <c r="G12" s="675"/>
      <c r="H12" s="675"/>
      <c r="I12" s="676"/>
      <c r="K12" s="681"/>
      <c r="L12" s="675"/>
      <c r="M12" s="675"/>
      <c r="N12" s="676"/>
      <c r="P12" s="681"/>
      <c r="Q12" s="675"/>
      <c r="R12" s="675"/>
      <c r="S12" s="676"/>
      <c r="T12" s="700" t="e">
        <f t="shared" si="4"/>
        <v>#REF!</v>
      </c>
      <c r="U12" s="692">
        <v>0</v>
      </c>
      <c r="V12" s="692">
        <v>1</v>
      </c>
      <c r="W12" s="692">
        <v>0</v>
      </c>
      <c r="X12" s="692">
        <v>0</v>
      </c>
      <c r="Y12" s="702" t="e">
        <f>IF(AND($A$1=0,$F$1&gt;0,$K$1=0,$P$1=0),$F$4, "")</f>
        <v>#REF!</v>
      </c>
    </row>
    <row r="13" spans="1:27">
      <c r="A13" s="682">
        <v>1</v>
      </c>
      <c r="B13" s="683" t="s">
        <v>367</v>
      </c>
      <c r="C13" s="675"/>
      <c r="D13" s="676"/>
      <c r="E13" s="698"/>
      <c r="F13" s="682">
        <v>1</v>
      </c>
      <c r="G13" s="683" t="s">
        <v>367</v>
      </c>
      <c r="H13" s="675"/>
      <c r="I13" s="676"/>
      <c r="K13" s="682">
        <v>1</v>
      </c>
      <c r="L13" s="683" t="s">
        <v>367</v>
      </c>
      <c r="M13" s="675"/>
      <c r="N13" s="676"/>
      <c r="P13" s="682">
        <v>1</v>
      </c>
      <c r="Q13" s="683" t="s">
        <v>367</v>
      </c>
      <c r="R13" s="675"/>
      <c r="S13" s="676"/>
      <c r="T13" s="700" t="e">
        <f t="shared" si="4"/>
        <v>#REF!</v>
      </c>
      <c r="U13" s="692">
        <v>0</v>
      </c>
      <c r="V13" s="692">
        <v>1</v>
      </c>
      <c r="W13" s="692">
        <v>0</v>
      </c>
      <c r="X13" s="692">
        <v>1</v>
      </c>
      <c r="Y13" s="702" t="e">
        <f>IF(AND($A$1=0,$F$1&gt;0,$K$1=0,$P$1&gt;0),$F$4&amp;$AA$8&amp;$P$4, "")</f>
        <v>#REF!</v>
      </c>
    </row>
    <row r="14" spans="1:27">
      <c r="A14" s="682">
        <v>2</v>
      </c>
      <c r="B14" s="683" t="s">
        <v>368</v>
      </c>
      <c r="C14" s="675"/>
      <c r="D14" s="676"/>
      <c r="E14" s="698"/>
      <c r="F14" s="682">
        <v>2</v>
      </c>
      <c r="G14" s="683" t="s">
        <v>368</v>
      </c>
      <c r="H14" s="675"/>
      <c r="I14" s="676"/>
      <c r="K14" s="682">
        <v>2</v>
      </c>
      <c r="L14" s="683" t="s">
        <v>368</v>
      </c>
      <c r="M14" s="675"/>
      <c r="N14" s="676"/>
      <c r="P14" s="682">
        <v>2</v>
      </c>
      <c r="Q14" s="683" t="s">
        <v>368</v>
      </c>
      <c r="R14" s="675"/>
      <c r="S14" s="676"/>
      <c r="T14" s="700" t="e">
        <f t="shared" si="4"/>
        <v>#REF!</v>
      </c>
      <c r="U14" s="692">
        <v>0</v>
      </c>
      <c r="V14" s="692">
        <v>1</v>
      </c>
      <c r="W14" s="692">
        <v>1</v>
      </c>
      <c r="X14" s="692">
        <v>0</v>
      </c>
      <c r="Y14" s="702" t="e">
        <f>IF(AND($A$1=0,$F$1&gt;0,$K$1&gt;0,$P$1=0),$F$4&amp;$AA$8&amp;$K$4, "")</f>
        <v>#REF!</v>
      </c>
    </row>
    <row r="15" spans="1:27">
      <c r="A15" s="682">
        <v>3</v>
      </c>
      <c r="B15" s="683" t="s">
        <v>369</v>
      </c>
      <c r="C15" s="675"/>
      <c r="D15" s="676"/>
      <c r="E15" s="698"/>
      <c r="F15" s="682">
        <v>3</v>
      </c>
      <c r="G15" s="683" t="s">
        <v>369</v>
      </c>
      <c r="H15" s="675"/>
      <c r="I15" s="676"/>
      <c r="K15" s="682">
        <v>3</v>
      </c>
      <c r="L15" s="683" t="s">
        <v>369</v>
      </c>
      <c r="M15" s="675"/>
      <c r="N15" s="676"/>
      <c r="P15" s="682">
        <v>3</v>
      </c>
      <c r="Q15" s="683" t="s">
        <v>369</v>
      </c>
      <c r="R15" s="675"/>
      <c r="S15" s="676"/>
      <c r="T15" s="700" t="e">
        <f t="shared" si="4"/>
        <v>#REF!</v>
      </c>
      <c r="U15" s="692">
        <v>0</v>
      </c>
      <c r="V15" s="692">
        <v>1</v>
      </c>
      <c r="W15" s="692">
        <v>1</v>
      </c>
      <c r="X15" s="692">
        <v>1</v>
      </c>
      <c r="Y15" s="703" t="e">
        <f>IF(AND($A$1=0,$F$1&gt;0,$K$1&gt;0,$P$1&gt;0),$F$4&amp;$AA$8&amp;$K$4&amp;$AA$8&amp;$P$4, "")</f>
        <v>#REF!</v>
      </c>
    </row>
    <row r="16" spans="1:27">
      <c r="A16" s="682">
        <v>4</v>
      </c>
      <c r="B16" s="683" t="s">
        <v>370</v>
      </c>
      <c r="C16" s="675"/>
      <c r="D16" s="676"/>
      <c r="E16" s="698"/>
      <c r="F16" s="682">
        <v>4</v>
      </c>
      <c r="G16" s="683" t="s">
        <v>370</v>
      </c>
      <c r="H16" s="675"/>
      <c r="I16" s="676"/>
      <c r="K16" s="682">
        <v>4</v>
      </c>
      <c r="L16" s="683" t="s">
        <v>370</v>
      </c>
      <c r="M16" s="675"/>
      <c r="N16" s="676"/>
      <c r="P16" s="682">
        <v>4</v>
      </c>
      <c r="Q16" s="683" t="s">
        <v>370</v>
      </c>
      <c r="R16" s="675"/>
      <c r="S16" s="676"/>
      <c r="T16" s="700" t="e">
        <f t="shared" si="4"/>
        <v>#REF!</v>
      </c>
      <c r="U16" s="692">
        <v>1</v>
      </c>
      <c r="V16" s="692">
        <v>0</v>
      </c>
      <c r="W16" s="692">
        <v>0</v>
      </c>
      <c r="X16" s="692">
        <v>0</v>
      </c>
      <c r="Y16" s="701" t="e">
        <f>IF(AND($A$1&gt;0,$F$1=0,$K$1=0,$P$1=0), $A$4, "")</f>
        <v>#REF!</v>
      </c>
    </row>
    <row r="17" spans="1:27">
      <c r="A17" s="682">
        <v>5</v>
      </c>
      <c r="B17" s="683" t="s">
        <v>371</v>
      </c>
      <c r="C17" s="675"/>
      <c r="D17" s="676"/>
      <c r="E17" s="698"/>
      <c r="F17" s="682">
        <v>5</v>
      </c>
      <c r="G17" s="683" t="s">
        <v>371</v>
      </c>
      <c r="H17" s="675"/>
      <c r="I17" s="676"/>
      <c r="K17" s="682">
        <v>5</v>
      </c>
      <c r="L17" s="683" t="s">
        <v>371</v>
      </c>
      <c r="M17" s="675"/>
      <c r="N17" s="676"/>
      <c r="P17" s="682">
        <v>5</v>
      </c>
      <c r="Q17" s="683" t="s">
        <v>371</v>
      </c>
      <c r="R17" s="675"/>
      <c r="S17" s="676"/>
      <c r="T17" s="700" t="e">
        <f t="shared" si="4"/>
        <v>#REF!</v>
      </c>
      <c r="U17" s="692">
        <v>1</v>
      </c>
      <c r="V17" s="692">
        <v>0</v>
      </c>
      <c r="W17" s="692">
        <v>0</v>
      </c>
      <c r="X17" s="692">
        <v>1</v>
      </c>
      <c r="Y17" s="702" t="e">
        <f>IF(AND($A$1&gt;0,$F$1=0,$K$1=0,$P$1&gt;0),$A$4&amp;$AA$8&amp;$P$4, "")</f>
        <v>#REF!</v>
      </c>
    </row>
    <row r="18" spans="1:27">
      <c r="A18" s="682">
        <v>6</v>
      </c>
      <c r="B18" s="683" t="s">
        <v>372</v>
      </c>
      <c r="C18" s="675"/>
      <c r="D18" s="676"/>
      <c r="E18" s="698"/>
      <c r="F18" s="682">
        <v>6</v>
      </c>
      <c r="G18" s="683" t="s">
        <v>372</v>
      </c>
      <c r="H18" s="675"/>
      <c r="I18" s="676"/>
      <c r="K18" s="682">
        <v>6</v>
      </c>
      <c r="L18" s="683" t="s">
        <v>372</v>
      </c>
      <c r="M18" s="675"/>
      <c r="N18" s="676"/>
      <c r="P18" s="682">
        <v>6</v>
      </c>
      <c r="Q18" s="683" t="s">
        <v>372</v>
      </c>
      <c r="R18" s="675"/>
      <c r="S18" s="676"/>
      <c r="T18" s="700" t="e">
        <f t="shared" si="4"/>
        <v>#REF!</v>
      </c>
      <c r="U18" s="692">
        <v>1</v>
      </c>
      <c r="V18" s="692">
        <v>0</v>
      </c>
      <c r="W18" s="692">
        <v>1</v>
      </c>
      <c r="X18" s="692">
        <v>0</v>
      </c>
      <c r="Y18" s="702" t="e">
        <f>IF(AND($A$1&gt;0,$F$1=0,$K$1&gt;0,$P$1=0),$A$4&amp;$AA$8&amp;$K$4, "")</f>
        <v>#REF!</v>
      </c>
    </row>
    <row r="19" spans="1:27">
      <c r="A19" s="682">
        <v>7</v>
      </c>
      <c r="B19" s="683" t="s">
        <v>373</v>
      </c>
      <c r="C19" s="675"/>
      <c r="D19" s="676"/>
      <c r="E19" s="698"/>
      <c r="F19" s="682">
        <v>7</v>
      </c>
      <c r="G19" s="683" t="s">
        <v>373</v>
      </c>
      <c r="H19" s="675"/>
      <c r="I19" s="676"/>
      <c r="K19" s="682">
        <v>7</v>
      </c>
      <c r="L19" s="683" t="s">
        <v>373</v>
      </c>
      <c r="M19" s="675"/>
      <c r="N19" s="676"/>
      <c r="P19" s="682">
        <v>7</v>
      </c>
      <c r="Q19" s="683" t="s">
        <v>373</v>
      </c>
      <c r="R19" s="675"/>
      <c r="S19" s="676"/>
      <c r="T19" s="700" t="e">
        <f t="shared" si="4"/>
        <v>#REF!</v>
      </c>
      <c r="U19" s="692">
        <v>1</v>
      </c>
      <c r="V19" s="692">
        <v>0</v>
      </c>
      <c r="W19" s="692">
        <v>1</v>
      </c>
      <c r="X19" s="692">
        <v>1</v>
      </c>
      <c r="Y19" s="702" t="e">
        <f>IF(AND($A$1&gt;0,$F$1=0,$K$1&gt;0,$P$1&gt;0),$A$4&amp;$AA$8&amp;$K$4&amp;$AA$8&amp;$P$4, "")</f>
        <v>#REF!</v>
      </c>
    </row>
    <row r="20" spans="1:27">
      <c r="A20" s="682">
        <v>8</v>
      </c>
      <c r="B20" s="683" t="s">
        <v>374</v>
      </c>
      <c r="C20" s="675"/>
      <c r="D20" s="676"/>
      <c r="E20" s="698"/>
      <c r="F20" s="682">
        <v>8</v>
      </c>
      <c r="G20" s="683" t="s">
        <v>374</v>
      </c>
      <c r="H20" s="675"/>
      <c r="I20" s="676"/>
      <c r="K20" s="682">
        <v>8</v>
      </c>
      <c r="L20" s="683" t="s">
        <v>374</v>
      </c>
      <c r="M20" s="675"/>
      <c r="N20" s="676"/>
      <c r="P20" s="682">
        <v>8</v>
      </c>
      <c r="Q20" s="683" t="s">
        <v>374</v>
      </c>
      <c r="R20" s="675"/>
      <c r="S20" s="676"/>
      <c r="T20" s="700" t="e">
        <f t="shared" si="4"/>
        <v>#REF!</v>
      </c>
      <c r="U20" s="692">
        <v>1</v>
      </c>
      <c r="V20" s="692">
        <v>1</v>
      </c>
      <c r="W20" s="692">
        <v>0</v>
      </c>
      <c r="X20" s="692">
        <v>0</v>
      </c>
      <c r="Y20" s="702" t="e">
        <f>IF(AND($A$1&gt;0,$F$1&gt;0,$K$1=0,$P$1=0),$A$4&amp;$AA$8&amp;$F$4, "")</f>
        <v>#REF!</v>
      </c>
    </row>
    <row r="21" spans="1:27">
      <c r="A21" s="682">
        <v>9</v>
      </c>
      <c r="B21" s="683" t="s">
        <v>375</v>
      </c>
      <c r="C21" s="675"/>
      <c r="D21" s="676"/>
      <c r="E21" s="698"/>
      <c r="F21" s="682">
        <v>9</v>
      </c>
      <c r="G21" s="683" t="s">
        <v>375</v>
      </c>
      <c r="H21" s="675"/>
      <c r="I21" s="676"/>
      <c r="K21" s="682">
        <v>9</v>
      </c>
      <c r="L21" s="683" t="s">
        <v>375</v>
      </c>
      <c r="M21" s="675"/>
      <c r="N21" s="676"/>
      <c r="P21" s="682">
        <v>9</v>
      </c>
      <c r="Q21" s="683" t="s">
        <v>375</v>
      </c>
      <c r="R21" s="675"/>
      <c r="S21" s="676"/>
      <c r="T21" s="700" t="e">
        <f t="shared" si="4"/>
        <v>#REF!</v>
      </c>
      <c r="U21" s="692">
        <v>1</v>
      </c>
      <c r="V21" s="692">
        <v>1</v>
      </c>
      <c r="W21" s="692">
        <v>0</v>
      </c>
      <c r="X21" s="692">
        <v>1</v>
      </c>
      <c r="Y21" s="702" t="e">
        <f>IF(AND($A$1&gt;0,$F$1&gt;0,$K$1=0,$P$1&gt;0),$A$4&amp;$AA$8&amp;$F$4&amp;$AA$8&amp;$P$4, "")</f>
        <v>#REF!</v>
      </c>
    </row>
    <row r="22" spans="1:27">
      <c r="A22" s="682">
        <v>10</v>
      </c>
      <c r="B22" s="683" t="s">
        <v>376</v>
      </c>
      <c r="C22" s="675"/>
      <c r="D22" s="676"/>
      <c r="E22" s="698"/>
      <c r="F22" s="682">
        <v>10</v>
      </c>
      <c r="G22" s="683" t="s">
        <v>376</v>
      </c>
      <c r="H22" s="675"/>
      <c r="I22" s="676"/>
      <c r="K22" s="682">
        <v>10</v>
      </c>
      <c r="L22" s="683" t="s">
        <v>376</v>
      </c>
      <c r="M22" s="675"/>
      <c r="N22" s="676"/>
      <c r="P22" s="682">
        <v>10</v>
      </c>
      <c r="Q22" s="683" t="s">
        <v>376</v>
      </c>
      <c r="R22" s="675"/>
      <c r="S22" s="676"/>
      <c r="T22" s="700" t="e">
        <f t="shared" si="4"/>
        <v>#REF!</v>
      </c>
      <c r="U22" s="692">
        <v>1</v>
      </c>
      <c r="V22" s="692">
        <v>1</v>
      </c>
      <c r="W22" s="692">
        <v>1</v>
      </c>
      <c r="X22" s="692">
        <v>0</v>
      </c>
      <c r="Y22" s="702" t="e">
        <f>IF(AND($A$1&gt;0,$F$1&gt;0,$K$1&gt;0,$P$1=0),$A$4&amp;$AA$8&amp;$F$4&amp;$AA$8&amp;$K$4, "")</f>
        <v>#REF!</v>
      </c>
    </row>
    <row r="23" spans="1:27">
      <c r="A23" s="682">
        <v>11</v>
      </c>
      <c r="B23" s="683" t="s">
        <v>377</v>
      </c>
      <c r="C23" s="675"/>
      <c r="D23" s="676"/>
      <c r="E23" s="698"/>
      <c r="F23" s="682">
        <v>11</v>
      </c>
      <c r="G23" s="683" t="s">
        <v>377</v>
      </c>
      <c r="H23" s="675"/>
      <c r="I23" s="676"/>
      <c r="K23" s="682">
        <v>11</v>
      </c>
      <c r="L23" s="683" t="s">
        <v>377</v>
      </c>
      <c r="M23" s="675"/>
      <c r="N23" s="676"/>
      <c r="P23" s="682">
        <v>11</v>
      </c>
      <c r="Q23" s="683" t="s">
        <v>377</v>
      </c>
      <c r="R23" s="675"/>
      <c r="S23" s="676"/>
      <c r="T23" s="700" t="e">
        <f t="shared" si="4"/>
        <v>#REF!</v>
      </c>
      <c r="U23" s="692">
        <v>1</v>
      </c>
      <c r="V23" s="692">
        <v>1</v>
      </c>
      <c r="W23" s="692">
        <v>1</v>
      </c>
      <c r="X23" s="692">
        <v>1</v>
      </c>
      <c r="Y23" s="703" t="e">
        <f>IF(AND($A$1&gt;0,$F$1&gt;0,$K$1&gt;0,$P$1&gt;0),$A$4&amp;$AA$8&amp;$F$4&amp;$AA$8&amp;$K$4&amp;$AA$8&amp;$P$4, "")</f>
        <v>#REF!</v>
      </c>
    </row>
    <row r="24" spans="1:27">
      <c r="A24" s="682">
        <v>12</v>
      </c>
      <c r="B24" s="683" t="s">
        <v>378</v>
      </c>
      <c r="C24" s="675"/>
      <c r="D24" s="676"/>
      <c r="E24" s="698"/>
      <c r="F24" s="682">
        <v>12</v>
      </c>
      <c r="G24" s="683" t="s">
        <v>378</v>
      </c>
      <c r="H24" s="675"/>
      <c r="I24" s="676"/>
      <c r="K24" s="682">
        <v>12</v>
      </c>
      <c r="L24" s="683" t="s">
        <v>378</v>
      </c>
      <c r="M24" s="675"/>
      <c r="N24" s="676"/>
      <c r="P24" s="682">
        <v>12</v>
      </c>
      <c r="Q24" s="683" t="s">
        <v>378</v>
      </c>
      <c r="R24" s="675"/>
      <c r="S24" s="676"/>
    </row>
    <row r="25" spans="1:27">
      <c r="A25" s="682">
        <v>13</v>
      </c>
      <c r="B25" s="683" t="s">
        <v>379</v>
      </c>
      <c r="C25" s="675"/>
      <c r="D25" s="676"/>
      <c r="E25" s="698"/>
      <c r="F25" s="682">
        <v>13</v>
      </c>
      <c r="G25" s="683" t="s">
        <v>379</v>
      </c>
      <c r="H25" s="675"/>
      <c r="I25" s="676"/>
      <c r="K25" s="682">
        <v>13</v>
      </c>
      <c r="L25" s="683" t="s">
        <v>379</v>
      </c>
      <c r="M25" s="675"/>
      <c r="N25" s="676"/>
      <c r="P25" s="682">
        <v>13</v>
      </c>
      <c r="Q25" s="683" t="s">
        <v>379</v>
      </c>
      <c r="R25" s="675"/>
      <c r="S25" s="676"/>
    </row>
    <row r="26" spans="1:27">
      <c r="A26" s="682">
        <v>14</v>
      </c>
      <c r="B26" s="683" t="s">
        <v>380</v>
      </c>
      <c r="C26" s="675"/>
      <c r="D26" s="676"/>
      <c r="E26" s="698"/>
      <c r="F26" s="682">
        <v>14</v>
      </c>
      <c r="G26" s="683" t="s">
        <v>380</v>
      </c>
      <c r="H26" s="675"/>
      <c r="I26" s="676"/>
      <c r="K26" s="682">
        <v>14</v>
      </c>
      <c r="L26" s="683" t="s">
        <v>380</v>
      </c>
      <c r="M26" s="675"/>
      <c r="N26" s="676"/>
      <c r="P26" s="682">
        <v>14</v>
      </c>
      <c r="Q26" s="683" t="s">
        <v>380</v>
      </c>
      <c r="R26" s="675"/>
      <c r="S26" s="676"/>
    </row>
    <row r="27" spans="1:27">
      <c r="A27" s="682">
        <v>15</v>
      </c>
      <c r="B27" s="683" t="s">
        <v>381</v>
      </c>
      <c r="C27" s="675"/>
      <c r="D27" s="676"/>
      <c r="E27" s="698"/>
      <c r="F27" s="682">
        <v>15</v>
      </c>
      <c r="G27" s="683" t="s">
        <v>381</v>
      </c>
      <c r="H27" s="675"/>
      <c r="I27" s="676"/>
      <c r="K27" s="682">
        <v>15</v>
      </c>
      <c r="L27" s="683" t="s">
        <v>381</v>
      </c>
      <c r="M27" s="675"/>
      <c r="N27" s="676"/>
      <c r="P27" s="682">
        <v>15</v>
      </c>
      <c r="Q27" s="683" t="s">
        <v>381</v>
      </c>
      <c r="R27" s="675"/>
      <c r="S27" s="676"/>
    </row>
    <row r="28" spans="1:27">
      <c r="A28" s="682">
        <v>16</v>
      </c>
      <c r="B28" s="683" t="s">
        <v>382</v>
      </c>
      <c r="C28" s="675"/>
      <c r="D28" s="676"/>
      <c r="E28" s="698"/>
      <c r="F28" s="682">
        <v>16</v>
      </c>
      <c r="G28" s="683" t="s">
        <v>382</v>
      </c>
      <c r="H28" s="675"/>
      <c r="I28" s="676"/>
      <c r="K28" s="682">
        <v>16</v>
      </c>
      <c r="L28" s="683" t="s">
        <v>382</v>
      </c>
      <c r="M28" s="675"/>
      <c r="N28" s="676"/>
      <c r="P28" s="682">
        <v>16</v>
      </c>
      <c r="Q28" s="683" t="s">
        <v>382</v>
      </c>
      <c r="R28" s="675"/>
      <c r="S28" s="676"/>
      <c r="T28" s="700" t="e">
        <f>IF(Y28="",0, 1)</f>
        <v>#REF!</v>
      </c>
      <c r="U28" s="692">
        <v>0</v>
      </c>
      <c r="V28" s="692">
        <v>0</v>
      </c>
      <c r="W28" s="692">
        <v>0</v>
      </c>
      <c r="X28" s="692">
        <v>0</v>
      </c>
      <c r="Y28" s="701" t="e">
        <f>IF(AND($A$1=0,$F$1=0,$K$1=0,$P$1=0)," 0/-", "")</f>
        <v>#REF!</v>
      </c>
      <c r="AA28" s="692" t="s">
        <v>469</v>
      </c>
    </row>
    <row r="29" spans="1:27">
      <c r="A29" s="682">
        <v>17</v>
      </c>
      <c r="B29" s="683" t="s">
        <v>383</v>
      </c>
      <c r="C29" s="675"/>
      <c r="D29" s="676"/>
      <c r="E29" s="698"/>
      <c r="F29" s="682">
        <v>17</v>
      </c>
      <c r="G29" s="683" t="s">
        <v>383</v>
      </c>
      <c r="H29" s="675"/>
      <c r="I29" s="676"/>
      <c r="K29" s="682">
        <v>17</v>
      </c>
      <c r="L29" s="683" t="s">
        <v>383</v>
      </c>
      <c r="M29" s="675"/>
      <c r="N29" s="676"/>
      <c r="P29" s="682">
        <v>17</v>
      </c>
      <c r="Q29" s="683" t="s">
        <v>383</v>
      </c>
      <c r="R29" s="675"/>
      <c r="S29" s="676"/>
      <c r="T29" s="700" t="e">
        <f t="shared" ref="T29:T43" si="5">IF(Y29="",0, 1)</f>
        <v>#REF!</v>
      </c>
      <c r="U29" s="692">
        <v>0</v>
      </c>
      <c r="V29" s="692">
        <v>0</v>
      </c>
      <c r="W29" s="692">
        <v>0</v>
      </c>
      <c r="X29" s="692">
        <v>1</v>
      </c>
      <c r="Y29" s="702" t="e">
        <f>IF(AND($A$1=0,$F$1=0,$K$1=0,$P$1&gt;0),$U$3&amp;$P$1&amp;$AA$30, "")</f>
        <v>#REF!</v>
      </c>
      <c r="AA29" s="692" t="s">
        <v>470</v>
      </c>
    </row>
    <row r="30" spans="1:27">
      <c r="A30" s="682">
        <v>18</v>
      </c>
      <c r="B30" s="683" t="s">
        <v>384</v>
      </c>
      <c r="C30" s="675"/>
      <c r="D30" s="676"/>
      <c r="E30" s="698"/>
      <c r="F30" s="682">
        <v>18</v>
      </c>
      <c r="G30" s="683" t="s">
        <v>384</v>
      </c>
      <c r="H30" s="675"/>
      <c r="I30" s="676"/>
      <c r="K30" s="682">
        <v>18</v>
      </c>
      <c r="L30" s="683" t="s">
        <v>384</v>
      </c>
      <c r="M30" s="675"/>
      <c r="N30" s="676"/>
      <c r="P30" s="682">
        <v>18</v>
      </c>
      <c r="Q30" s="683" t="s">
        <v>384</v>
      </c>
      <c r="R30" s="675"/>
      <c r="S30" s="676"/>
      <c r="T30" s="700" t="e">
        <f t="shared" si="5"/>
        <v>#REF!</v>
      </c>
      <c r="U30" s="692">
        <v>0</v>
      </c>
      <c r="V30" s="692">
        <v>0</v>
      </c>
      <c r="W30" s="692">
        <v>1</v>
      </c>
      <c r="X30" s="692">
        <v>0</v>
      </c>
      <c r="Y30" s="702" t="e">
        <f>IF(AND($A$1=0,$F$1=0,$K$1&gt;0,$P$1=0),$U$2&amp;$K$1&amp;$AA$30, "")</f>
        <v>#REF!</v>
      </c>
      <c r="AA30" s="692" t="s">
        <v>471</v>
      </c>
    </row>
    <row r="31" spans="1:27">
      <c r="A31" s="682">
        <v>19</v>
      </c>
      <c r="B31" s="683" t="s">
        <v>385</v>
      </c>
      <c r="C31" s="675"/>
      <c r="D31" s="676"/>
      <c r="E31" s="698"/>
      <c r="F31" s="682">
        <v>19</v>
      </c>
      <c r="G31" s="683" t="s">
        <v>385</v>
      </c>
      <c r="H31" s="675"/>
      <c r="I31" s="676"/>
      <c r="K31" s="682">
        <v>19</v>
      </c>
      <c r="L31" s="683" t="s">
        <v>385</v>
      </c>
      <c r="M31" s="675"/>
      <c r="N31" s="676"/>
      <c r="P31" s="682">
        <v>19</v>
      </c>
      <c r="Q31" s="683" t="s">
        <v>385</v>
      </c>
      <c r="R31" s="675"/>
      <c r="S31" s="676"/>
      <c r="T31" s="700" t="e">
        <f t="shared" si="5"/>
        <v>#REF!</v>
      </c>
      <c r="U31" s="692">
        <v>0</v>
      </c>
      <c r="V31" s="692">
        <v>0</v>
      </c>
      <c r="W31" s="692">
        <v>1</v>
      </c>
      <c r="X31" s="692">
        <v>1</v>
      </c>
      <c r="Y31" s="702" t="e">
        <f>IF(AND($A$1=0,$F$1=0,$K$1&gt;0,$P$1&gt;0),$U$2&amp;$K$1&amp;$AA$29&amp;$U$3&amp;$P$1&amp;$AA$30, "")</f>
        <v>#REF!</v>
      </c>
    </row>
    <row r="32" spans="1:27">
      <c r="A32" s="682">
        <v>20</v>
      </c>
      <c r="B32" s="683" t="s">
        <v>386</v>
      </c>
      <c r="C32" s="675"/>
      <c r="D32" s="676"/>
      <c r="E32" s="698"/>
      <c r="F32" s="682">
        <v>20</v>
      </c>
      <c r="G32" s="683" t="s">
        <v>386</v>
      </c>
      <c r="H32" s="675"/>
      <c r="I32" s="676"/>
      <c r="K32" s="682">
        <v>20</v>
      </c>
      <c r="L32" s="683" t="s">
        <v>386</v>
      </c>
      <c r="M32" s="675"/>
      <c r="N32" s="676"/>
      <c r="P32" s="682">
        <v>20</v>
      </c>
      <c r="Q32" s="683" t="s">
        <v>386</v>
      </c>
      <c r="R32" s="675"/>
      <c r="S32" s="676"/>
      <c r="T32" s="700" t="e">
        <f t="shared" si="5"/>
        <v>#REF!</v>
      </c>
      <c r="U32" s="692">
        <v>0</v>
      </c>
      <c r="V32" s="692">
        <v>1</v>
      </c>
      <c r="W32" s="692">
        <v>0</v>
      </c>
      <c r="X32" s="692">
        <v>0</v>
      </c>
      <c r="Y32" s="702" t="e">
        <f>IF(AND($A$1=0,$F$1&gt;0,$K$1=0,$P$1=0),$U$1&amp;$F$1&amp;$AA$30, "")</f>
        <v>#REF!</v>
      </c>
    </row>
    <row r="33" spans="1:25">
      <c r="A33" s="682">
        <v>21</v>
      </c>
      <c r="B33" s="683" t="s">
        <v>387</v>
      </c>
      <c r="C33" s="675"/>
      <c r="D33" s="676"/>
      <c r="E33" s="698"/>
      <c r="F33" s="682">
        <v>21</v>
      </c>
      <c r="G33" s="683" t="s">
        <v>387</v>
      </c>
      <c r="H33" s="675"/>
      <c r="I33" s="676"/>
      <c r="K33" s="682">
        <v>21</v>
      </c>
      <c r="L33" s="683" t="s">
        <v>387</v>
      </c>
      <c r="M33" s="675"/>
      <c r="N33" s="676"/>
      <c r="P33" s="682">
        <v>21</v>
      </c>
      <c r="Q33" s="683" t="s">
        <v>387</v>
      </c>
      <c r="R33" s="675"/>
      <c r="S33" s="676"/>
      <c r="T33" s="700" t="e">
        <f t="shared" si="5"/>
        <v>#REF!</v>
      </c>
      <c r="U33" s="692">
        <v>0</v>
      </c>
      <c r="V33" s="692">
        <v>1</v>
      </c>
      <c r="W33" s="692">
        <v>0</v>
      </c>
      <c r="X33" s="692">
        <v>1</v>
      </c>
      <c r="Y33" s="702" t="e">
        <f>IF(AND($A$1=0,$F$1&gt;0,$K$1=0,$P$1&gt;0),$U$1&amp;$F$1&amp;$AA$29&amp;$U$3&amp;$P$1&amp;$AA$30, "")</f>
        <v>#REF!</v>
      </c>
    </row>
    <row r="34" spans="1:25">
      <c r="A34" s="682">
        <v>22</v>
      </c>
      <c r="B34" s="683" t="s">
        <v>388</v>
      </c>
      <c r="C34" s="675"/>
      <c r="D34" s="676"/>
      <c r="E34" s="698"/>
      <c r="F34" s="682">
        <v>22</v>
      </c>
      <c r="G34" s="683" t="s">
        <v>388</v>
      </c>
      <c r="H34" s="675"/>
      <c r="I34" s="676"/>
      <c r="K34" s="682">
        <v>22</v>
      </c>
      <c r="L34" s="683" t="s">
        <v>388</v>
      </c>
      <c r="M34" s="675"/>
      <c r="N34" s="676"/>
      <c r="P34" s="682">
        <v>22</v>
      </c>
      <c r="Q34" s="683" t="s">
        <v>388</v>
      </c>
      <c r="R34" s="675"/>
      <c r="S34" s="676"/>
      <c r="T34" s="700" t="e">
        <f t="shared" si="5"/>
        <v>#REF!</v>
      </c>
      <c r="U34" s="692">
        <v>0</v>
      </c>
      <c r="V34" s="692">
        <v>1</v>
      </c>
      <c r="W34" s="692">
        <v>1</v>
      </c>
      <c r="X34" s="692">
        <v>0</v>
      </c>
      <c r="Y34" s="702" t="e">
        <f>IF(AND($A$1=0,$F$1&gt;0,$K$1&gt;0,$P$1=0),$U$1&amp;$F$1&amp;$AA$29&amp;$U$2&amp;$K$1, "")</f>
        <v>#REF!</v>
      </c>
    </row>
    <row r="35" spans="1:25">
      <c r="A35" s="682">
        <v>23</v>
      </c>
      <c r="B35" s="683" t="s">
        <v>389</v>
      </c>
      <c r="C35" s="675"/>
      <c r="D35" s="676"/>
      <c r="E35" s="698"/>
      <c r="F35" s="682">
        <v>23</v>
      </c>
      <c r="G35" s="683" t="s">
        <v>389</v>
      </c>
      <c r="H35" s="675"/>
      <c r="I35" s="676"/>
      <c r="K35" s="682">
        <v>23</v>
      </c>
      <c r="L35" s="683" t="s">
        <v>389</v>
      </c>
      <c r="M35" s="675"/>
      <c r="N35" s="676"/>
      <c r="P35" s="682">
        <v>23</v>
      </c>
      <c r="Q35" s="683" t="s">
        <v>389</v>
      </c>
      <c r="R35" s="675"/>
      <c r="S35" s="676"/>
      <c r="T35" s="700" t="e">
        <f t="shared" si="5"/>
        <v>#REF!</v>
      </c>
      <c r="U35" s="692">
        <v>0</v>
      </c>
      <c r="V35" s="692">
        <v>1</v>
      </c>
      <c r="W35" s="692">
        <v>1</v>
      </c>
      <c r="X35" s="692">
        <v>1</v>
      </c>
      <c r="Y35" s="703" t="e">
        <f>IF(AND($A$1=0,$F$1&gt;0,$K$1&gt;0,$P$1&gt;0),$U$1&amp;$F$1&amp;$AA$29&amp;$U$2&amp;$K$1&amp;$AA$29&amp;$U$3&amp;$P$1&amp;$AA$30, "")</f>
        <v>#REF!</v>
      </c>
    </row>
    <row r="36" spans="1:25">
      <c r="A36" s="682">
        <v>24</v>
      </c>
      <c r="B36" s="683" t="s">
        <v>390</v>
      </c>
      <c r="C36" s="675"/>
      <c r="D36" s="676"/>
      <c r="E36" s="698"/>
      <c r="F36" s="682">
        <v>24</v>
      </c>
      <c r="G36" s="683" t="s">
        <v>390</v>
      </c>
      <c r="H36" s="675"/>
      <c r="I36" s="676"/>
      <c r="K36" s="682">
        <v>24</v>
      </c>
      <c r="L36" s="683" t="s">
        <v>390</v>
      </c>
      <c r="M36" s="675"/>
      <c r="N36" s="676"/>
      <c r="P36" s="682">
        <v>24</v>
      </c>
      <c r="Q36" s="683" t="s">
        <v>390</v>
      </c>
      <c r="R36" s="675"/>
      <c r="S36" s="676"/>
      <c r="T36" s="700" t="e">
        <f t="shared" si="5"/>
        <v>#REF!</v>
      </c>
      <c r="U36" s="692">
        <v>1</v>
      </c>
      <c r="V36" s="692">
        <v>0</v>
      </c>
      <c r="W36" s="692">
        <v>0</v>
      </c>
      <c r="X36" s="692">
        <v>0</v>
      </c>
      <c r="Y36" s="701" t="e">
        <f>IF(AND($A$1&gt;0,$F$1=0,$K$1=0,$P$1=0),#REF!&amp; $A$1&amp;$AA$30, "")</f>
        <v>#REF!</v>
      </c>
    </row>
    <row r="37" spans="1:25">
      <c r="A37" s="682">
        <v>25</v>
      </c>
      <c r="B37" s="683" t="s">
        <v>391</v>
      </c>
      <c r="C37" s="675"/>
      <c r="D37" s="676"/>
      <c r="E37" s="698"/>
      <c r="F37" s="682">
        <v>25</v>
      </c>
      <c r="G37" s="683" t="s">
        <v>391</v>
      </c>
      <c r="H37" s="675"/>
      <c r="I37" s="676"/>
      <c r="K37" s="682">
        <v>25</v>
      </c>
      <c r="L37" s="683" t="s">
        <v>391</v>
      </c>
      <c r="M37" s="675"/>
      <c r="N37" s="676"/>
      <c r="P37" s="682">
        <v>25</v>
      </c>
      <c r="Q37" s="683" t="s">
        <v>391</v>
      </c>
      <c r="R37" s="675"/>
      <c r="S37" s="676"/>
      <c r="T37" s="700" t="e">
        <f t="shared" si="5"/>
        <v>#REF!</v>
      </c>
      <c r="U37" s="692">
        <v>1</v>
      </c>
      <c r="V37" s="692">
        <v>0</v>
      </c>
      <c r="W37" s="692">
        <v>0</v>
      </c>
      <c r="X37" s="692">
        <v>1</v>
      </c>
      <c r="Y37" s="702" t="e">
        <f>IF(AND($A$1&gt;0,$F$1=0,$K$1=0,$P$1&gt;0),#REF!&amp;$A$1&amp;$AA$29&amp;$U$3&amp;$P$1&amp;$AA$30, "")</f>
        <v>#REF!</v>
      </c>
    </row>
    <row r="38" spans="1:25">
      <c r="A38" s="682">
        <v>26</v>
      </c>
      <c r="B38" s="683" t="s">
        <v>392</v>
      </c>
      <c r="C38" s="675"/>
      <c r="D38" s="676"/>
      <c r="E38" s="698"/>
      <c r="F38" s="682">
        <v>26</v>
      </c>
      <c r="G38" s="683" t="s">
        <v>392</v>
      </c>
      <c r="H38" s="675"/>
      <c r="I38" s="676"/>
      <c r="K38" s="682">
        <v>26</v>
      </c>
      <c r="L38" s="683" t="s">
        <v>392</v>
      </c>
      <c r="M38" s="675"/>
      <c r="N38" s="676"/>
      <c r="P38" s="682">
        <v>26</v>
      </c>
      <c r="Q38" s="683" t="s">
        <v>392</v>
      </c>
      <c r="R38" s="675"/>
      <c r="S38" s="676"/>
      <c r="T38" s="700" t="e">
        <f t="shared" si="5"/>
        <v>#REF!</v>
      </c>
      <c r="U38" s="692">
        <v>1</v>
      </c>
      <c r="V38" s="692">
        <v>0</v>
      </c>
      <c r="W38" s="692">
        <v>1</v>
      </c>
      <c r="X38" s="692">
        <v>0</v>
      </c>
      <c r="Y38" s="702" t="e">
        <f>IF(AND($A$1&gt;0,$F$1=0,$K$1&gt;0,$P$1=0),#REF!&amp;$A$1&amp;$AA$29&amp;$U$2&amp;$K$1, "")</f>
        <v>#REF!</v>
      </c>
    </row>
    <row r="39" spans="1:25">
      <c r="A39" s="682">
        <v>27</v>
      </c>
      <c r="B39" s="683" t="s">
        <v>393</v>
      </c>
      <c r="C39" s="675"/>
      <c r="D39" s="676"/>
      <c r="E39" s="698"/>
      <c r="F39" s="682">
        <v>27</v>
      </c>
      <c r="G39" s="683" t="s">
        <v>393</v>
      </c>
      <c r="H39" s="675"/>
      <c r="I39" s="676"/>
      <c r="K39" s="682">
        <v>27</v>
      </c>
      <c r="L39" s="683" t="s">
        <v>393</v>
      </c>
      <c r="M39" s="675"/>
      <c r="N39" s="676"/>
      <c r="P39" s="682">
        <v>27</v>
      </c>
      <c r="Q39" s="683" t="s">
        <v>393</v>
      </c>
      <c r="R39" s="675"/>
      <c r="S39" s="676"/>
      <c r="T39" s="700" t="e">
        <f t="shared" si="5"/>
        <v>#REF!</v>
      </c>
      <c r="U39" s="692">
        <v>1</v>
      </c>
      <c r="V39" s="692">
        <v>0</v>
      </c>
      <c r="W39" s="692">
        <v>1</v>
      </c>
      <c r="X39" s="692">
        <v>1</v>
      </c>
      <c r="Y39" s="702" t="e">
        <f>IF(AND($A$1&gt;0,$F$1=0,$K$1&gt;0,$P$1&gt;0),#REF!&amp;$A$1&amp;$AA$29&amp;$U$2&amp;$K$1&amp;$AA$29&amp;$U$3&amp;$P$1&amp;$AA$30, "")</f>
        <v>#REF!</v>
      </c>
    </row>
    <row r="40" spans="1:25">
      <c r="A40" s="682">
        <v>28</v>
      </c>
      <c r="B40" s="683" t="s">
        <v>394</v>
      </c>
      <c r="C40" s="675"/>
      <c r="D40" s="676"/>
      <c r="E40" s="698"/>
      <c r="F40" s="682">
        <v>28</v>
      </c>
      <c r="G40" s="683" t="s">
        <v>394</v>
      </c>
      <c r="H40" s="675"/>
      <c r="I40" s="676"/>
      <c r="K40" s="682">
        <v>28</v>
      </c>
      <c r="L40" s="683" t="s">
        <v>394</v>
      </c>
      <c r="M40" s="675"/>
      <c r="N40" s="676"/>
      <c r="P40" s="682">
        <v>28</v>
      </c>
      <c r="Q40" s="683" t="s">
        <v>394</v>
      </c>
      <c r="R40" s="675"/>
      <c r="S40" s="676"/>
      <c r="T40" s="700" t="e">
        <f t="shared" si="5"/>
        <v>#REF!</v>
      </c>
      <c r="U40" s="692">
        <v>1</v>
      </c>
      <c r="V40" s="692">
        <v>1</v>
      </c>
      <c r="W40" s="692">
        <v>0</v>
      </c>
      <c r="X40" s="692">
        <v>0</v>
      </c>
      <c r="Y40" s="702" t="e">
        <f>IF(AND($A$1&gt;0,$F$1&gt;0,$K$1=0,$P$1=0),#REF!&amp;$A$1&amp;$AA$29&amp;$U$1&amp;$F$1, "")</f>
        <v>#REF!</v>
      </c>
    </row>
    <row r="41" spans="1:25">
      <c r="A41" s="682">
        <v>29</v>
      </c>
      <c r="B41" s="683" t="s">
        <v>395</v>
      </c>
      <c r="C41" s="675"/>
      <c r="D41" s="676"/>
      <c r="E41" s="698"/>
      <c r="F41" s="682">
        <v>29</v>
      </c>
      <c r="G41" s="683" t="s">
        <v>395</v>
      </c>
      <c r="H41" s="675"/>
      <c r="I41" s="676"/>
      <c r="K41" s="682">
        <v>29</v>
      </c>
      <c r="L41" s="683" t="s">
        <v>395</v>
      </c>
      <c r="M41" s="675"/>
      <c r="N41" s="676"/>
      <c r="P41" s="682">
        <v>29</v>
      </c>
      <c r="Q41" s="683" t="s">
        <v>395</v>
      </c>
      <c r="R41" s="675"/>
      <c r="S41" s="676"/>
      <c r="T41" s="700" t="e">
        <f t="shared" si="5"/>
        <v>#REF!</v>
      </c>
      <c r="U41" s="692">
        <v>1</v>
      </c>
      <c r="V41" s="692">
        <v>1</v>
      </c>
      <c r="W41" s="692">
        <v>0</v>
      </c>
      <c r="X41" s="692">
        <v>1</v>
      </c>
      <c r="Y41" s="702" t="e">
        <f>IF(AND($A$1&gt;0,$F$1&gt;0,$K$1=0,$P$1&gt;0),#REF!&amp;$A$1&amp;$AA$29&amp;$U$1&amp;$F$1&amp;$AA$29&amp;$U$3&amp;$P$1&amp;$AA$30, "")</f>
        <v>#REF!</v>
      </c>
    </row>
    <row r="42" spans="1:25">
      <c r="A42" s="682">
        <v>30</v>
      </c>
      <c r="B42" s="683" t="s">
        <v>396</v>
      </c>
      <c r="C42" s="675"/>
      <c r="D42" s="676"/>
      <c r="E42" s="698"/>
      <c r="F42" s="682">
        <v>30</v>
      </c>
      <c r="G42" s="683" t="s">
        <v>396</v>
      </c>
      <c r="H42" s="675"/>
      <c r="I42" s="676"/>
      <c r="K42" s="682">
        <v>30</v>
      </c>
      <c r="L42" s="683" t="s">
        <v>396</v>
      </c>
      <c r="M42" s="675"/>
      <c r="N42" s="676"/>
      <c r="P42" s="682">
        <v>30</v>
      </c>
      <c r="Q42" s="683" t="s">
        <v>396</v>
      </c>
      <c r="R42" s="675"/>
      <c r="S42" s="676"/>
      <c r="T42" s="700" t="e">
        <f t="shared" si="5"/>
        <v>#REF!</v>
      </c>
      <c r="U42" s="692">
        <v>1</v>
      </c>
      <c r="V42" s="692">
        <v>1</v>
      </c>
      <c r="W42" s="692">
        <v>1</v>
      </c>
      <c r="X42" s="692">
        <v>0</v>
      </c>
      <c r="Y42" s="702" t="e">
        <f>IF(AND($A$1&gt;0,$F$1&gt;0,$K$1&gt;0,$P$1=0),#REF!&amp;$A$1&amp;$AA$29&amp;$U$1&amp;$F$1&amp;$AA$29&amp;$U$2&amp;$K$1, "")</f>
        <v>#REF!</v>
      </c>
    </row>
    <row r="43" spans="1:25">
      <c r="A43" s="682">
        <v>31</v>
      </c>
      <c r="B43" s="683" t="s">
        <v>397</v>
      </c>
      <c r="C43" s="675"/>
      <c r="D43" s="676"/>
      <c r="E43" s="698"/>
      <c r="F43" s="682">
        <v>31</v>
      </c>
      <c r="G43" s="683" t="s">
        <v>397</v>
      </c>
      <c r="H43" s="675"/>
      <c r="I43" s="676"/>
      <c r="K43" s="682">
        <v>31</v>
      </c>
      <c r="L43" s="683" t="s">
        <v>397</v>
      </c>
      <c r="M43" s="675"/>
      <c r="N43" s="676"/>
      <c r="P43" s="682">
        <v>31</v>
      </c>
      <c r="Q43" s="683" t="s">
        <v>397</v>
      </c>
      <c r="R43" s="675"/>
      <c r="S43" s="676"/>
      <c r="T43" s="700" t="e">
        <f t="shared" si="5"/>
        <v>#REF!</v>
      </c>
      <c r="U43" s="692">
        <v>1</v>
      </c>
      <c r="V43" s="692">
        <v>1</v>
      </c>
      <c r="W43" s="692">
        <v>1</v>
      </c>
      <c r="X43" s="692">
        <v>1</v>
      </c>
      <c r="Y43" s="703" t="e">
        <f>IF(AND($A$1&gt;0,$F$1&gt;0,$K$1&gt;0,$P$1&gt;0),#REF!&amp;$A$1&amp;$AA$29&amp;$U$1&amp;$F$1&amp;$AA$29&amp;$U$2&amp;$K$1&amp;$AA$29&amp;$U$3&amp;$P$1&amp;$AA$30, "")</f>
        <v>#REF!</v>
      </c>
    </row>
    <row r="44" spans="1:25">
      <c r="A44" s="682">
        <v>32</v>
      </c>
      <c r="B44" s="683" t="s">
        <v>398</v>
      </c>
      <c r="C44" s="675"/>
      <c r="D44" s="676"/>
      <c r="E44" s="698"/>
      <c r="F44" s="682">
        <v>32</v>
      </c>
      <c r="G44" s="683" t="s">
        <v>398</v>
      </c>
      <c r="H44" s="675"/>
      <c r="I44" s="676"/>
      <c r="K44" s="682">
        <v>32</v>
      </c>
      <c r="L44" s="683" t="s">
        <v>398</v>
      </c>
      <c r="M44" s="675"/>
      <c r="N44" s="676"/>
      <c r="P44" s="682">
        <v>32</v>
      </c>
      <c r="Q44" s="683" t="s">
        <v>398</v>
      </c>
      <c r="R44" s="675"/>
      <c r="S44" s="676"/>
    </row>
    <row r="45" spans="1:25">
      <c r="A45" s="682">
        <v>33</v>
      </c>
      <c r="B45" s="683" t="s">
        <v>399</v>
      </c>
      <c r="C45" s="675"/>
      <c r="D45" s="676"/>
      <c r="E45" s="698"/>
      <c r="F45" s="682">
        <v>33</v>
      </c>
      <c r="G45" s="683" t="s">
        <v>399</v>
      </c>
      <c r="H45" s="675"/>
      <c r="I45" s="676"/>
      <c r="K45" s="682">
        <v>33</v>
      </c>
      <c r="L45" s="683" t="s">
        <v>399</v>
      </c>
      <c r="M45" s="675"/>
      <c r="N45" s="676"/>
      <c r="P45" s="682">
        <v>33</v>
      </c>
      <c r="Q45" s="683" t="s">
        <v>399</v>
      </c>
      <c r="R45" s="675"/>
      <c r="S45" s="676"/>
    </row>
    <row r="46" spans="1:25">
      <c r="A46" s="682">
        <v>34</v>
      </c>
      <c r="B46" s="683" t="s">
        <v>400</v>
      </c>
      <c r="C46" s="675"/>
      <c r="D46" s="676"/>
      <c r="E46" s="698"/>
      <c r="F46" s="682">
        <v>34</v>
      </c>
      <c r="G46" s="683" t="s">
        <v>400</v>
      </c>
      <c r="H46" s="675"/>
      <c r="I46" s="676"/>
      <c r="K46" s="682">
        <v>34</v>
      </c>
      <c r="L46" s="683" t="s">
        <v>400</v>
      </c>
      <c r="M46" s="675"/>
      <c r="N46" s="676"/>
      <c r="P46" s="682">
        <v>34</v>
      </c>
      <c r="Q46" s="683" t="s">
        <v>400</v>
      </c>
      <c r="R46" s="675"/>
      <c r="S46" s="676"/>
    </row>
    <row r="47" spans="1:25">
      <c r="A47" s="682">
        <v>35</v>
      </c>
      <c r="B47" s="683" t="s">
        <v>401</v>
      </c>
      <c r="C47" s="675"/>
      <c r="D47" s="676"/>
      <c r="E47" s="698"/>
      <c r="F47" s="682">
        <v>35</v>
      </c>
      <c r="G47" s="683" t="s">
        <v>401</v>
      </c>
      <c r="H47" s="675"/>
      <c r="I47" s="676"/>
      <c r="K47" s="682">
        <v>35</v>
      </c>
      <c r="L47" s="683" t="s">
        <v>401</v>
      </c>
      <c r="M47" s="675"/>
      <c r="N47" s="676"/>
      <c r="P47" s="682">
        <v>35</v>
      </c>
      <c r="Q47" s="683" t="s">
        <v>401</v>
      </c>
      <c r="R47" s="675"/>
      <c r="S47" s="676"/>
    </row>
    <row r="48" spans="1:25">
      <c r="A48" s="682">
        <v>36</v>
      </c>
      <c r="B48" s="683" t="s">
        <v>402</v>
      </c>
      <c r="C48" s="675"/>
      <c r="D48" s="676"/>
      <c r="E48" s="698"/>
      <c r="F48" s="682">
        <v>36</v>
      </c>
      <c r="G48" s="683" t="s">
        <v>402</v>
      </c>
      <c r="H48" s="675"/>
      <c r="I48" s="676"/>
      <c r="K48" s="682">
        <v>36</v>
      </c>
      <c r="L48" s="683" t="s">
        <v>402</v>
      </c>
      <c r="M48" s="675"/>
      <c r="N48" s="676"/>
      <c r="P48" s="682">
        <v>36</v>
      </c>
      <c r="Q48" s="683" t="s">
        <v>402</v>
      </c>
      <c r="R48" s="675"/>
      <c r="S48" s="676"/>
    </row>
    <row r="49" spans="1:19">
      <c r="A49" s="682">
        <v>37</v>
      </c>
      <c r="B49" s="683" t="s">
        <v>403</v>
      </c>
      <c r="C49" s="675"/>
      <c r="D49" s="676"/>
      <c r="E49" s="698"/>
      <c r="F49" s="682">
        <v>37</v>
      </c>
      <c r="G49" s="683" t="s">
        <v>403</v>
      </c>
      <c r="H49" s="675"/>
      <c r="I49" s="676"/>
      <c r="K49" s="682">
        <v>37</v>
      </c>
      <c r="L49" s="683" t="s">
        <v>403</v>
      </c>
      <c r="M49" s="675"/>
      <c r="N49" s="676"/>
      <c r="P49" s="682">
        <v>37</v>
      </c>
      <c r="Q49" s="683" t="s">
        <v>403</v>
      </c>
      <c r="R49" s="675"/>
      <c r="S49" s="676"/>
    </row>
    <row r="50" spans="1:19">
      <c r="A50" s="682">
        <v>38</v>
      </c>
      <c r="B50" s="683" t="s">
        <v>404</v>
      </c>
      <c r="C50" s="675"/>
      <c r="D50" s="676"/>
      <c r="E50" s="698"/>
      <c r="F50" s="682">
        <v>38</v>
      </c>
      <c r="G50" s="683" t="s">
        <v>404</v>
      </c>
      <c r="H50" s="675"/>
      <c r="I50" s="676"/>
      <c r="K50" s="682">
        <v>38</v>
      </c>
      <c r="L50" s="683" t="s">
        <v>404</v>
      </c>
      <c r="M50" s="675"/>
      <c r="N50" s="676"/>
      <c r="P50" s="682">
        <v>38</v>
      </c>
      <c r="Q50" s="683" t="s">
        <v>404</v>
      </c>
      <c r="R50" s="675"/>
      <c r="S50" s="676"/>
    </row>
    <row r="51" spans="1:19">
      <c r="A51" s="682">
        <v>39</v>
      </c>
      <c r="B51" s="683" t="s">
        <v>405</v>
      </c>
      <c r="C51" s="675"/>
      <c r="D51" s="676"/>
      <c r="E51" s="698"/>
      <c r="F51" s="682">
        <v>39</v>
      </c>
      <c r="G51" s="683" t="s">
        <v>405</v>
      </c>
      <c r="H51" s="675"/>
      <c r="I51" s="676"/>
      <c r="K51" s="682">
        <v>39</v>
      </c>
      <c r="L51" s="683" t="s">
        <v>405</v>
      </c>
      <c r="M51" s="675"/>
      <c r="N51" s="676"/>
      <c r="P51" s="682">
        <v>39</v>
      </c>
      <c r="Q51" s="683" t="s">
        <v>405</v>
      </c>
      <c r="R51" s="675"/>
      <c r="S51" s="676"/>
    </row>
    <row r="52" spans="1:19">
      <c r="A52" s="682">
        <v>40</v>
      </c>
      <c r="B52" s="683" t="s">
        <v>406</v>
      </c>
      <c r="C52" s="675"/>
      <c r="D52" s="676"/>
      <c r="E52" s="698"/>
      <c r="F52" s="682">
        <v>40</v>
      </c>
      <c r="G52" s="683" t="s">
        <v>406</v>
      </c>
      <c r="H52" s="675"/>
      <c r="I52" s="676"/>
      <c r="K52" s="682">
        <v>40</v>
      </c>
      <c r="L52" s="683" t="s">
        <v>406</v>
      </c>
      <c r="M52" s="675"/>
      <c r="N52" s="676"/>
      <c r="P52" s="682">
        <v>40</v>
      </c>
      <c r="Q52" s="683" t="s">
        <v>406</v>
      </c>
      <c r="R52" s="675"/>
      <c r="S52" s="676"/>
    </row>
    <row r="53" spans="1:19">
      <c r="A53" s="682">
        <v>41</v>
      </c>
      <c r="B53" s="683" t="s">
        <v>407</v>
      </c>
      <c r="C53" s="675"/>
      <c r="D53" s="676"/>
      <c r="E53" s="698"/>
      <c r="F53" s="682">
        <v>41</v>
      </c>
      <c r="G53" s="683" t="s">
        <v>407</v>
      </c>
      <c r="H53" s="675"/>
      <c r="I53" s="676"/>
      <c r="K53" s="682">
        <v>41</v>
      </c>
      <c r="L53" s="683" t="s">
        <v>407</v>
      </c>
      <c r="M53" s="675"/>
      <c r="N53" s="676"/>
      <c r="P53" s="682">
        <v>41</v>
      </c>
      <c r="Q53" s="683" t="s">
        <v>407</v>
      </c>
      <c r="R53" s="675"/>
      <c r="S53" s="676"/>
    </row>
    <row r="54" spans="1:19">
      <c r="A54" s="682">
        <v>42</v>
      </c>
      <c r="B54" s="683" t="s">
        <v>408</v>
      </c>
      <c r="C54" s="675"/>
      <c r="D54" s="676"/>
      <c r="E54" s="698"/>
      <c r="F54" s="682">
        <v>42</v>
      </c>
      <c r="G54" s="683" t="s">
        <v>408</v>
      </c>
      <c r="H54" s="675"/>
      <c r="I54" s="676"/>
      <c r="K54" s="682">
        <v>42</v>
      </c>
      <c r="L54" s="683" t="s">
        <v>408</v>
      </c>
      <c r="M54" s="675"/>
      <c r="N54" s="676"/>
      <c r="P54" s="682">
        <v>42</v>
      </c>
      <c r="Q54" s="683" t="s">
        <v>408</v>
      </c>
      <c r="R54" s="675"/>
      <c r="S54" s="676"/>
    </row>
    <row r="55" spans="1:19">
      <c r="A55" s="682">
        <v>43</v>
      </c>
      <c r="B55" s="683" t="s">
        <v>409</v>
      </c>
      <c r="C55" s="675"/>
      <c r="D55" s="676"/>
      <c r="E55" s="698"/>
      <c r="F55" s="682">
        <v>43</v>
      </c>
      <c r="G55" s="683" t="s">
        <v>409</v>
      </c>
      <c r="H55" s="675"/>
      <c r="I55" s="676"/>
      <c r="K55" s="682">
        <v>43</v>
      </c>
      <c r="L55" s="683" t="s">
        <v>409</v>
      </c>
      <c r="M55" s="675"/>
      <c r="N55" s="676"/>
      <c r="P55" s="682">
        <v>43</v>
      </c>
      <c r="Q55" s="683" t="s">
        <v>409</v>
      </c>
      <c r="R55" s="675"/>
      <c r="S55" s="676"/>
    </row>
    <row r="56" spans="1:19">
      <c r="A56" s="682">
        <v>44</v>
      </c>
      <c r="B56" s="683" t="s">
        <v>410</v>
      </c>
      <c r="C56" s="675"/>
      <c r="D56" s="676"/>
      <c r="E56" s="698"/>
      <c r="F56" s="682">
        <v>44</v>
      </c>
      <c r="G56" s="683" t="s">
        <v>410</v>
      </c>
      <c r="H56" s="675"/>
      <c r="I56" s="676"/>
      <c r="K56" s="682">
        <v>44</v>
      </c>
      <c r="L56" s="683" t="s">
        <v>410</v>
      </c>
      <c r="M56" s="675"/>
      <c r="N56" s="676"/>
      <c r="P56" s="682">
        <v>44</v>
      </c>
      <c r="Q56" s="683" t="s">
        <v>410</v>
      </c>
      <c r="R56" s="675"/>
      <c r="S56" s="676"/>
    </row>
    <row r="57" spans="1:19">
      <c r="A57" s="682">
        <v>45</v>
      </c>
      <c r="B57" s="683" t="s">
        <v>411</v>
      </c>
      <c r="C57" s="675"/>
      <c r="D57" s="676"/>
      <c r="E57" s="698"/>
      <c r="F57" s="682">
        <v>45</v>
      </c>
      <c r="G57" s="683" t="s">
        <v>411</v>
      </c>
      <c r="H57" s="675"/>
      <c r="I57" s="676"/>
      <c r="K57" s="682">
        <v>45</v>
      </c>
      <c r="L57" s="683" t="s">
        <v>411</v>
      </c>
      <c r="M57" s="675"/>
      <c r="N57" s="676"/>
      <c r="P57" s="682">
        <v>45</v>
      </c>
      <c r="Q57" s="683" t="s">
        <v>411</v>
      </c>
      <c r="R57" s="675"/>
      <c r="S57" s="676"/>
    </row>
    <row r="58" spans="1:19">
      <c r="A58" s="682">
        <v>46</v>
      </c>
      <c r="B58" s="683" t="s">
        <v>412</v>
      </c>
      <c r="C58" s="675"/>
      <c r="D58" s="676"/>
      <c r="E58" s="698"/>
      <c r="F58" s="682">
        <v>46</v>
      </c>
      <c r="G58" s="683" t="s">
        <v>412</v>
      </c>
      <c r="H58" s="675"/>
      <c r="I58" s="676"/>
      <c r="K58" s="682">
        <v>46</v>
      </c>
      <c r="L58" s="683" t="s">
        <v>412</v>
      </c>
      <c r="M58" s="675"/>
      <c r="N58" s="676"/>
      <c r="P58" s="682">
        <v>46</v>
      </c>
      <c r="Q58" s="683" t="s">
        <v>412</v>
      </c>
      <c r="R58" s="675"/>
      <c r="S58" s="676"/>
    </row>
    <row r="59" spans="1:19">
      <c r="A59" s="682">
        <v>47</v>
      </c>
      <c r="B59" s="683" t="s">
        <v>413</v>
      </c>
      <c r="C59" s="675"/>
      <c r="D59" s="676"/>
      <c r="E59" s="698"/>
      <c r="F59" s="682">
        <v>47</v>
      </c>
      <c r="G59" s="683" t="s">
        <v>413</v>
      </c>
      <c r="H59" s="675"/>
      <c r="I59" s="676"/>
      <c r="K59" s="682">
        <v>47</v>
      </c>
      <c r="L59" s="683" t="s">
        <v>413</v>
      </c>
      <c r="M59" s="675"/>
      <c r="N59" s="676"/>
      <c r="P59" s="682">
        <v>47</v>
      </c>
      <c r="Q59" s="683" t="s">
        <v>413</v>
      </c>
      <c r="R59" s="675"/>
      <c r="S59" s="676"/>
    </row>
    <row r="60" spans="1:19">
      <c r="A60" s="682">
        <v>48</v>
      </c>
      <c r="B60" s="683" t="s">
        <v>414</v>
      </c>
      <c r="C60" s="675"/>
      <c r="D60" s="676"/>
      <c r="E60" s="698"/>
      <c r="F60" s="682">
        <v>48</v>
      </c>
      <c r="G60" s="683" t="s">
        <v>414</v>
      </c>
      <c r="H60" s="675"/>
      <c r="I60" s="676"/>
      <c r="K60" s="682">
        <v>48</v>
      </c>
      <c r="L60" s="683" t="s">
        <v>414</v>
      </c>
      <c r="M60" s="675"/>
      <c r="N60" s="676"/>
      <c r="P60" s="682">
        <v>48</v>
      </c>
      <c r="Q60" s="683" t="s">
        <v>414</v>
      </c>
      <c r="R60" s="675"/>
      <c r="S60" s="676"/>
    </row>
    <row r="61" spans="1:19">
      <c r="A61" s="682">
        <v>49</v>
      </c>
      <c r="B61" s="683" t="s">
        <v>415</v>
      </c>
      <c r="C61" s="675"/>
      <c r="D61" s="676"/>
      <c r="E61" s="698"/>
      <c r="F61" s="682">
        <v>49</v>
      </c>
      <c r="G61" s="683" t="s">
        <v>415</v>
      </c>
      <c r="H61" s="675"/>
      <c r="I61" s="676"/>
      <c r="K61" s="682">
        <v>49</v>
      </c>
      <c r="L61" s="683" t="s">
        <v>415</v>
      </c>
      <c r="M61" s="675"/>
      <c r="N61" s="676"/>
      <c r="P61" s="682">
        <v>49</v>
      </c>
      <c r="Q61" s="683" t="s">
        <v>415</v>
      </c>
      <c r="R61" s="675"/>
      <c r="S61" s="676"/>
    </row>
    <row r="62" spans="1:19">
      <c r="A62" s="682">
        <v>50</v>
      </c>
      <c r="B62" s="683" t="s">
        <v>416</v>
      </c>
      <c r="C62" s="675"/>
      <c r="D62" s="676"/>
      <c r="E62" s="698"/>
      <c r="F62" s="682">
        <v>50</v>
      </c>
      <c r="G62" s="683" t="s">
        <v>416</v>
      </c>
      <c r="H62" s="675"/>
      <c r="I62" s="676"/>
      <c r="K62" s="682">
        <v>50</v>
      </c>
      <c r="L62" s="683" t="s">
        <v>416</v>
      </c>
      <c r="M62" s="675"/>
      <c r="N62" s="676"/>
      <c r="P62" s="682">
        <v>50</v>
      </c>
      <c r="Q62" s="683" t="s">
        <v>416</v>
      </c>
      <c r="R62" s="675"/>
      <c r="S62" s="676"/>
    </row>
    <row r="63" spans="1:19">
      <c r="A63" s="682">
        <v>51</v>
      </c>
      <c r="B63" s="683" t="s">
        <v>417</v>
      </c>
      <c r="C63" s="675"/>
      <c r="D63" s="676"/>
      <c r="E63" s="698"/>
      <c r="F63" s="682">
        <v>51</v>
      </c>
      <c r="G63" s="683" t="s">
        <v>417</v>
      </c>
      <c r="H63" s="675"/>
      <c r="I63" s="676"/>
      <c r="K63" s="682">
        <v>51</v>
      </c>
      <c r="L63" s="683" t="s">
        <v>417</v>
      </c>
      <c r="M63" s="675"/>
      <c r="N63" s="676"/>
      <c r="P63" s="682">
        <v>51</v>
      </c>
      <c r="Q63" s="683" t="s">
        <v>417</v>
      </c>
      <c r="R63" s="675"/>
      <c r="S63" s="676"/>
    </row>
    <row r="64" spans="1:19">
      <c r="A64" s="682">
        <v>52</v>
      </c>
      <c r="B64" s="683" t="s">
        <v>418</v>
      </c>
      <c r="C64" s="675"/>
      <c r="D64" s="676"/>
      <c r="E64" s="698"/>
      <c r="F64" s="682">
        <v>52</v>
      </c>
      <c r="G64" s="683" t="s">
        <v>418</v>
      </c>
      <c r="H64" s="675"/>
      <c r="I64" s="676"/>
      <c r="K64" s="682">
        <v>52</v>
      </c>
      <c r="L64" s="683" t="s">
        <v>418</v>
      </c>
      <c r="M64" s="675"/>
      <c r="N64" s="676"/>
      <c r="P64" s="682">
        <v>52</v>
      </c>
      <c r="Q64" s="683" t="s">
        <v>418</v>
      </c>
      <c r="R64" s="675"/>
      <c r="S64" s="676"/>
    </row>
    <row r="65" spans="1:19">
      <c r="A65" s="682">
        <v>53</v>
      </c>
      <c r="B65" s="683" t="s">
        <v>419</v>
      </c>
      <c r="C65" s="675"/>
      <c r="D65" s="676"/>
      <c r="E65" s="698"/>
      <c r="F65" s="682">
        <v>53</v>
      </c>
      <c r="G65" s="683" t="s">
        <v>419</v>
      </c>
      <c r="H65" s="675"/>
      <c r="I65" s="676"/>
      <c r="K65" s="682">
        <v>53</v>
      </c>
      <c r="L65" s="683" t="s">
        <v>419</v>
      </c>
      <c r="M65" s="675"/>
      <c r="N65" s="676"/>
      <c r="P65" s="682">
        <v>53</v>
      </c>
      <c r="Q65" s="683" t="s">
        <v>419</v>
      </c>
      <c r="R65" s="675"/>
      <c r="S65" s="676"/>
    </row>
    <row r="66" spans="1:19">
      <c r="A66" s="682">
        <v>54</v>
      </c>
      <c r="B66" s="683" t="s">
        <v>420</v>
      </c>
      <c r="C66" s="675"/>
      <c r="D66" s="676"/>
      <c r="E66" s="698"/>
      <c r="F66" s="682">
        <v>54</v>
      </c>
      <c r="G66" s="683" t="s">
        <v>420</v>
      </c>
      <c r="H66" s="675"/>
      <c r="I66" s="676"/>
      <c r="K66" s="682">
        <v>54</v>
      </c>
      <c r="L66" s="683" t="s">
        <v>420</v>
      </c>
      <c r="M66" s="675"/>
      <c r="N66" s="676"/>
      <c r="P66" s="682">
        <v>54</v>
      </c>
      <c r="Q66" s="683" t="s">
        <v>420</v>
      </c>
      <c r="R66" s="675"/>
      <c r="S66" s="676"/>
    </row>
    <row r="67" spans="1:19">
      <c r="A67" s="682">
        <v>55</v>
      </c>
      <c r="B67" s="683" t="s">
        <v>421</v>
      </c>
      <c r="C67" s="675"/>
      <c r="D67" s="676"/>
      <c r="E67" s="698"/>
      <c r="F67" s="682">
        <v>55</v>
      </c>
      <c r="G67" s="683" t="s">
        <v>421</v>
      </c>
      <c r="H67" s="675"/>
      <c r="I67" s="676"/>
      <c r="K67" s="682">
        <v>55</v>
      </c>
      <c r="L67" s="683" t="s">
        <v>421</v>
      </c>
      <c r="M67" s="675"/>
      <c r="N67" s="676"/>
      <c r="P67" s="682">
        <v>55</v>
      </c>
      <c r="Q67" s="683" t="s">
        <v>421</v>
      </c>
      <c r="R67" s="675"/>
      <c r="S67" s="676"/>
    </row>
    <row r="68" spans="1:19">
      <c r="A68" s="682">
        <v>56</v>
      </c>
      <c r="B68" s="683" t="s">
        <v>422</v>
      </c>
      <c r="C68" s="675"/>
      <c r="D68" s="676"/>
      <c r="E68" s="698"/>
      <c r="F68" s="682">
        <v>56</v>
      </c>
      <c r="G68" s="683" t="s">
        <v>422</v>
      </c>
      <c r="H68" s="675"/>
      <c r="I68" s="676"/>
      <c r="K68" s="682">
        <v>56</v>
      </c>
      <c r="L68" s="683" t="s">
        <v>422</v>
      </c>
      <c r="M68" s="675"/>
      <c r="N68" s="676"/>
      <c r="P68" s="682">
        <v>56</v>
      </c>
      <c r="Q68" s="683" t="s">
        <v>422</v>
      </c>
      <c r="R68" s="675"/>
      <c r="S68" s="676"/>
    </row>
    <row r="69" spans="1:19">
      <c r="A69" s="682">
        <v>57</v>
      </c>
      <c r="B69" s="683" t="s">
        <v>423</v>
      </c>
      <c r="C69" s="675"/>
      <c r="D69" s="676"/>
      <c r="E69" s="698"/>
      <c r="F69" s="682">
        <v>57</v>
      </c>
      <c r="G69" s="683" t="s">
        <v>423</v>
      </c>
      <c r="H69" s="675"/>
      <c r="I69" s="676"/>
      <c r="K69" s="682">
        <v>57</v>
      </c>
      <c r="L69" s="683" t="s">
        <v>423</v>
      </c>
      <c r="M69" s="675"/>
      <c r="N69" s="676"/>
      <c r="P69" s="682">
        <v>57</v>
      </c>
      <c r="Q69" s="683" t="s">
        <v>423</v>
      </c>
      <c r="R69" s="675"/>
      <c r="S69" s="676"/>
    </row>
    <row r="70" spans="1:19">
      <c r="A70" s="682">
        <v>58</v>
      </c>
      <c r="B70" s="683" t="s">
        <v>424</v>
      </c>
      <c r="C70" s="675"/>
      <c r="D70" s="676"/>
      <c r="E70" s="698"/>
      <c r="F70" s="682">
        <v>58</v>
      </c>
      <c r="G70" s="683" t="s">
        <v>424</v>
      </c>
      <c r="H70" s="675"/>
      <c r="I70" s="676"/>
      <c r="K70" s="682">
        <v>58</v>
      </c>
      <c r="L70" s="683" t="s">
        <v>424</v>
      </c>
      <c r="M70" s="675"/>
      <c r="N70" s="676"/>
      <c r="P70" s="682">
        <v>58</v>
      </c>
      <c r="Q70" s="683" t="s">
        <v>424</v>
      </c>
      <c r="R70" s="675"/>
      <c r="S70" s="676"/>
    </row>
    <row r="71" spans="1:19">
      <c r="A71" s="682">
        <v>59</v>
      </c>
      <c r="B71" s="683" t="s">
        <v>425</v>
      </c>
      <c r="C71" s="675"/>
      <c r="D71" s="676"/>
      <c r="E71" s="698"/>
      <c r="F71" s="682">
        <v>59</v>
      </c>
      <c r="G71" s="683" t="s">
        <v>425</v>
      </c>
      <c r="H71" s="675"/>
      <c r="I71" s="676"/>
      <c r="K71" s="682">
        <v>59</v>
      </c>
      <c r="L71" s="683" t="s">
        <v>425</v>
      </c>
      <c r="M71" s="675"/>
      <c r="N71" s="676"/>
      <c r="P71" s="682">
        <v>59</v>
      </c>
      <c r="Q71" s="683" t="s">
        <v>425</v>
      </c>
      <c r="R71" s="675"/>
      <c r="S71" s="676"/>
    </row>
    <row r="72" spans="1:19">
      <c r="A72" s="682">
        <v>60</v>
      </c>
      <c r="B72" s="683" t="s">
        <v>426</v>
      </c>
      <c r="C72" s="675"/>
      <c r="D72" s="676"/>
      <c r="E72" s="698"/>
      <c r="F72" s="682">
        <v>60</v>
      </c>
      <c r="G72" s="683" t="s">
        <v>426</v>
      </c>
      <c r="H72" s="675"/>
      <c r="I72" s="676"/>
      <c r="K72" s="682">
        <v>60</v>
      </c>
      <c r="L72" s="683" t="s">
        <v>426</v>
      </c>
      <c r="M72" s="675"/>
      <c r="N72" s="676"/>
      <c r="P72" s="682">
        <v>60</v>
      </c>
      <c r="Q72" s="683" t="s">
        <v>426</v>
      </c>
      <c r="R72" s="675"/>
      <c r="S72" s="676"/>
    </row>
    <row r="73" spans="1:19">
      <c r="A73" s="682">
        <v>61</v>
      </c>
      <c r="B73" s="683" t="s">
        <v>427</v>
      </c>
      <c r="C73" s="675"/>
      <c r="D73" s="676"/>
      <c r="E73" s="698"/>
      <c r="F73" s="682">
        <v>61</v>
      </c>
      <c r="G73" s="683" t="s">
        <v>427</v>
      </c>
      <c r="H73" s="675"/>
      <c r="I73" s="676"/>
      <c r="K73" s="682">
        <v>61</v>
      </c>
      <c r="L73" s="683" t="s">
        <v>427</v>
      </c>
      <c r="M73" s="675"/>
      <c r="N73" s="676"/>
      <c r="P73" s="682">
        <v>61</v>
      </c>
      <c r="Q73" s="683" t="s">
        <v>427</v>
      </c>
      <c r="R73" s="675"/>
      <c r="S73" s="676"/>
    </row>
    <row r="74" spans="1:19">
      <c r="A74" s="682">
        <v>62</v>
      </c>
      <c r="B74" s="683" t="s">
        <v>428</v>
      </c>
      <c r="C74" s="675"/>
      <c r="D74" s="676"/>
      <c r="E74" s="698"/>
      <c r="F74" s="682">
        <v>62</v>
      </c>
      <c r="G74" s="683" t="s">
        <v>428</v>
      </c>
      <c r="H74" s="675"/>
      <c r="I74" s="676"/>
      <c r="K74" s="682">
        <v>62</v>
      </c>
      <c r="L74" s="683" t="s">
        <v>428</v>
      </c>
      <c r="M74" s="675"/>
      <c r="N74" s="676"/>
      <c r="P74" s="682">
        <v>62</v>
      </c>
      <c r="Q74" s="683" t="s">
        <v>428</v>
      </c>
      <c r="R74" s="675"/>
      <c r="S74" s="676"/>
    </row>
    <row r="75" spans="1:19">
      <c r="A75" s="682">
        <v>63</v>
      </c>
      <c r="B75" s="684" t="s">
        <v>429</v>
      </c>
      <c r="C75" s="675"/>
      <c r="D75" s="676"/>
      <c r="E75" s="698"/>
      <c r="F75" s="682">
        <v>63</v>
      </c>
      <c r="G75" s="684" t="s">
        <v>429</v>
      </c>
      <c r="H75" s="675"/>
      <c r="I75" s="676"/>
      <c r="K75" s="682">
        <v>63</v>
      </c>
      <c r="L75" s="684" t="s">
        <v>429</v>
      </c>
      <c r="M75" s="675"/>
      <c r="N75" s="676"/>
      <c r="P75" s="682">
        <v>63</v>
      </c>
      <c r="Q75" s="684" t="s">
        <v>429</v>
      </c>
      <c r="R75" s="675"/>
      <c r="S75" s="676"/>
    </row>
    <row r="76" spans="1:19">
      <c r="A76" s="682">
        <v>64</v>
      </c>
      <c r="B76" s="684" t="s">
        <v>430</v>
      </c>
      <c r="C76" s="675"/>
      <c r="D76" s="676"/>
      <c r="E76" s="698"/>
      <c r="F76" s="682">
        <v>64</v>
      </c>
      <c r="G76" s="684" t="s">
        <v>430</v>
      </c>
      <c r="H76" s="675"/>
      <c r="I76" s="676"/>
      <c r="K76" s="682">
        <v>64</v>
      </c>
      <c r="L76" s="684" t="s">
        <v>430</v>
      </c>
      <c r="M76" s="675"/>
      <c r="N76" s="676"/>
      <c r="P76" s="682">
        <v>64</v>
      </c>
      <c r="Q76" s="684" t="s">
        <v>430</v>
      </c>
      <c r="R76" s="675"/>
      <c r="S76" s="676"/>
    </row>
    <row r="77" spans="1:19">
      <c r="A77" s="682">
        <v>65</v>
      </c>
      <c r="B77" s="684" t="s">
        <v>431</v>
      </c>
      <c r="C77" s="675"/>
      <c r="D77" s="676"/>
      <c r="E77" s="698"/>
      <c r="F77" s="682">
        <v>65</v>
      </c>
      <c r="G77" s="684" t="s">
        <v>431</v>
      </c>
      <c r="H77" s="675"/>
      <c r="I77" s="676"/>
      <c r="K77" s="682">
        <v>65</v>
      </c>
      <c r="L77" s="684" t="s">
        <v>431</v>
      </c>
      <c r="M77" s="675"/>
      <c r="N77" s="676"/>
      <c r="P77" s="682">
        <v>65</v>
      </c>
      <c r="Q77" s="684" t="s">
        <v>431</v>
      </c>
      <c r="R77" s="675"/>
      <c r="S77" s="676"/>
    </row>
    <row r="78" spans="1:19">
      <c r="A78" s="682">
        <v>66</v>
      </c>
      <c r="B78" s="684" t="s">
        <v>432</v>
      </c>
      <c r="C78" s="675"/>
      <c r="D78" s="676"/>
      <c r="E78" s="698"/>
      <c r="F78" s="682">
        <v>66</v>
      </c>
      <c r="G78" s="684" t="s">
        <v>432</v>
      </c>
      <c r="H78" s="675"/>
      <c r="I78" s="676"/>
      <c r="K78" s="682">
        <v>66</v>
      </c>
      <c r="L78" s="684" t="s">
        <v>432</v>
      </c>
      <c r="M78" s="675"/>
      <c r="N78" s="676"/>
      <c r="P78" s="682">
        <v>66</v>
      </c>
      <c r="Q78" s="684" t="s">
        <v>432</v>
      </c>
      <c r="R78" s="675"/>
      <c r="S78" s="676"/>
    </row>
    <row r="79" spans="1:19">
      <c r="A79" s="682">
        <v>67</v>
      </c>
      <c r="B79" s="684" t="s">
        <v>433</v>
      </c>
      <c r="C79" s="675"/>
      <c r="D79" s="676"/>
      <c r="E79" s="698"/>
      <c r="F79" s="682">
        <v>67</v>
      </c>
      <c r="G79" s="684" t="s">
        <v>433</v>
      </c>
      <c r="H79" s="675"/>
      <c r="I79" s="676"/>
      <c r="K79" s="682">
        <v>67</v>
      </c>
      <c r="L79" s="684" t="s">
        <v>433</v>
      </c>
      <c r="M79" s="675"/>
      <c r="N79" s="676"/>
      <c r="P79" s="682">
        <v>67</v>
      </c>
      <c r="Q79" s="684" t="s">
        <v>433</v>
      </c>
      <c r="R79" s="675"/>
      <c r="S79" s="676"/>
    </row>
    <row r="80" spans="1:19">
      <c r="A80" s="682">
        <v>68</v>
      </c>
      <c r="B80" s="684" t="s">
        <v>434</v>
      </c>
      <c r="C80" s="675"/>
      <c r="D80" s="676"/>
      <c r="E80" s="698"/>
      <c r="F80" s="682">
        <v>68</v>
      </c>
      <c r="G80" s="684" t="s">
        <v>434</v>
      </c>
      <c r="H80" s="675"/>
      <c r="I80" s="676"/>
      <c r="K80" s="682">
        <v>68</v>
      </c>
      <c r="L80" s="684" t="s">
        <v>434</v>
      </c>
      <c r="M80" s="675"/>
      <c r="N80" s="676"/>
      <c r="P80" s="682">
        <v>68</v>
      </c>
      <c r="Q80" s="684" t="s">
        <v>434</v>
      </c>
      <c r="R80" s="675"/>
      <c r="S80" s="676"/>
    </row>
    <row r="81" spans="1:19">
      <c r="A81" s="682">
        <v>69</v>
      </c>
      <c r="B81" s="684" t="s">
        <v>435</v>
      </c>
      <c r="C81" s="675"/>
      <c r="D81" s="676"/>
      <c r="E81" s="698"/>
      <c r="F81" s="682">
        <v>69</v>
      </c>
      <c r="G81" s="684" t="s">
        <v>435</v>
      </c>
      <c r="H81" s="675"/>
      <c r="I81" s="676"/>
      <c r="K81" s="682">
        <v>69</v>
      </c>
      <c r="L81" s="684" t="s">
        <v>435</v>
      </c>
      <c r="M81" s="675"/>
      <c r="N81" s="676"/>
      <c r="P81" s="682">
        <v>69</v>
      </c>
      <c r="Q81" s="684" t="s">
        <v>435</v>
      </c>
      <c r="R81" s="675"/>
      <c r="S81" s="676"/>
    </row>
    <row r="82" spans="1:19">
      <c r="A82" s="682">
        <v>70</v>
      </c>
      <c r="B82" s="684" t="s">
        <v>436</v>
      </c>
      <c r="C82" s="675"/>
      <c r="D82" s="676"/>
      <c r="E82" s="698"/>
      <c r="F82" s="682">
        <v>70</v>
      </c>
      <c r="G82" s="684" t="s">
        <v>436</v>
      </c>
      <c r="H82" s="675"/>
      <c r="I82" s="676"/>
      <c r="K82" s="682">
        <v>70</v>
      </c>
      <c r="L82" s="684" t="s">
        <v>436</v>
      </c>
      <c r="M82" s="675"/>
      <c r="N82" s="676"/>
      <c r="P82" s="682">
        <v>70</v>
      </c>
      <c r="Q82" s="684" t="s">
        <v>436</v>
      </c>
      <c r="R82" s="675"/>
      <c r="S82" s="676"/>
    </row>
    <row r="83" spans="1:19">
      <c r="A83" s="682">
        <v>71</v>
      </c>
      <c r="B83" s="684" t="s">
        <v>437</v>
      </c>
      <c r="C83" s="675"/>
      <c r="D83" s="676"/>
      <c r="E83" s="698"/>
      <c r="F83" s="682">
        <v>71</v>
      </c>
      <c r="G83" s="684" t="s">
        <v>437</v>
      </c>
      <c r="H83" s="675"/>
      <c r="I83" s="676"/>
      <c r="K83" s="682">
        <v>71</v>
      </c>
      <c r="L83" s="684" t="s">
        <v>437</v>
      </c>
      <c r="M83" s="675"/>
      <c r="N83" s="676"/>
      <c r="P83" s="682">
        <v>71</v>
      </c>
      <c r="Q83" s="684" t="s">
        <v>437</v>
      </c>
      <c r="R83" s="675"/>
      <c r="S83" s="676"/>
    </row>
    <row r="84" spans="1:19">
      <c r="A84" s="682">
        <v>72</v>
      </c>
      <c r="B84" s="684" t="s">
        <v>438</v>
      </c>
      <c r="C84" s="675"/>
      <c r="D84" s="676"/>
      <c r="E84" s="698"/>
      <c r="F84" s="682">
        <v>72</v>
      </c>
      <c r="G84" s="684" t="s">
        <v>438</v>
      </c>
      <c r="H84" s="675"/>
      <c r="I84" s="676"/>
      <c r="K84" s="682">
        <v>72</v>
      </c>
      <c r="L84" s="684" t="s">
        <v>438</v>
      </c>
      <c r="M84" s="675"/>
      <c r="N84" s="676"/>
      <c r="P84" s="682">
        <v>72</v>
      </c>
      <c r="Q84" s="684" t="s">
        <v>438</v>
      </c>
      <c r="R84" s="675"/>
      <c r="S84" s="676"/>
    </row>
    <row r="85" spans="1:19">
      <c r="A85" s="682">
        <v>73</v>
      </c>
      <c r="B85" s="684" t="s">
        <v>439</v>
      </c>
      <c r="C85" s="675"/>
      <c r="D85" s="676"/>
      <c r="E85" s="698"/>
      <c r="F85" s="682">
        <v>73</v>
      </c>
      <c r="G85" s="684" t="s">
        <v>439</v>
      </c>
      <c r="H85" s="675"/>
      <c r="I85" s="676"/>
      <c r="K85" s="682">
        <v>73</v>
      </c>
      <c r="L85" s="684" t="s">
        <v>439</v>
      </c>
      <c r="M85" s="675"/>
      <c r="N85" s="676"/>
      <c r="P85" s="682">
        <v>73</v>
      </c>
      <c r="Q85" s="684" t="s">
        <v>439</v>
      </c>
      <c r="R85" s="675"/>
      <c r="S85" s="676"/>
    </row>
    <row r="86" spans="1:19">
      <c r="A86" s="682">
        <v>74</v>
      </c>
      <c r="B86" s="684" t="s">
        <v>440</v>
      </c>
      <c r="C86" s="675"/>
      <c r="D86" s="676"/>
      <c r="E86" s="698"/>
      <c r="F86" s="682">
        <v>74</v>
      </c>
      <c r="G86" s="684" t="s">
        <v>440</v>
      </c>
      <c r="H86" s="675"/>
      <c r="I86" s="676"/>
      <c r="K86" s="682">
        <v>74</v>
      </c>
      <c r="L86" s="684" t="s">
        <v>440</v>
      </c>
      <c r="M86" s="675"/>
      <c r="N86" s="676"/>
      <c r="P86" s="682">
        <v>74</v>
      </c>
      <c r="Q86" s="684" t="s">
        <v>440</v>
      </c>
      <c r="R86" s="675"/>
      <c r="S86" s="676"/>
    </row>
    <row r="87" spans="1:19">
      <c r="A87" s="682">
        <v>75</v>
      </c>
      <c r="B87" s="684" t="s">
        <v>441</v>
      </c>
      <c r="C87" s="675"/>
      <c r="D87" s="676"/>
      <c r="E87" s="698"/>
      <c r="F87" s="682">
        <v>75</v>
      </c>
      <c r="G87" s="684" t="s">
        <v>441</v>
      </c>
      <c r="H87" s="675"/>
      <c r="I87" s="676"/>
      <c r="K87" s="682">
        <v>75</v>
      </c>
      <c r="L87" s="684" t="s">
        <v>441</v>
      </c>
      <c r="M87" s="675"/>
      <c r="N87" s="676"/>
      <c r="P87" s="682">
        <v>75</v>
      </c>
      <c r="Q87" s="684" t="s">
        <v>441</v>
      </c>
      <c r="R87" s="675"/>
      <c r="S87" s="676"/>
    </row>
    <row r="88" spans="1:19">
      <c r="A88" s="682">
        <v>76</v>
      </c>
      <c r="B88" s="684" t="s">
        <v>442</v>
      </c>
      <c r="C88" s="675"/>
      <c r="D88" s="676"/>
      <c r="E88" s="698"/>
      <c r="F88" s="682">
        <v>76</v>
      </c>
      <c r="G88" s="684" t="s">
        <v>442</v>
      </c>
      <c r="H88" s="675"/>
      <c r="I88" s="676"/>
      <c r="K88" s="682">
        <v>76</v>
      </c>
      <c r="L88" s="684" t="s">
        <v>442</v>
      </c>
      <c r="M88" s="675"/>
      <c r="N88" s="676"/>
      <c r="P88" s="682">
        <v>76</v>
      </c>
      <c r="Q88" s="684" t="s">
        <v>442</v>
      </c>
      <c r="R88" s="675"/>
      <c r="S88" s="676"/>
    </row>
    <row r="89" spans="1:19">
      <c r="A89" s="682">
        <v>77</v>
      </c>
      <c r="B89" s="684" t="s">
        <v>443</v>
      </c>
      <c r="C89" s="675"/>
      <c r="D89" s="676"/>
      <c r="E89" s="698"/>
      <c r="F89" s="682">
        <v>77</v>
      </c>
      <c r="G89" s="684" t="s">
        <v>443</v>
      </c>
      <c r="H89" s="675"/>
      <c r="I89" s="676"/>
      <c r="K89" s="682">
        <v>77</v>
      </c>
      <c r="L89" s="684" t="s">
        <v>443</v>
      </c>
      <c r="M89" s="675"/>
      <c r="N89" s="676"/>
      <c r="P89" s="682">
        <v>77</v>
      </c>
      <c r="Q89" s="684" t="s">
        <v>443</v>
      </c>
      <c r="R89" s="675"/>
      <c r="S89" s="676"/>
    </row>
    <row r="90" spans="1:19">
      <c r="A90" s="682">
        <v>78</v>
      </c>
      <c r="B90" s="684" t="s">
        <v>444</v>
      </c>
      <c r="C90" s="675"/>
      <c r="D90" s="676"/>
      <c r="E90" s="698"/>
      <c r="F90" s="682">
        <v>78</v>
      </c>
      <c r="G90" s="684" t="s">
        <v>444</v>
      </c>
      <c r="H90" s="675"/>
      <c r="I90" s="676"/>
      <c r="K90" s="682">
        <v>78</v>
      </c>
      <c r="L90" s="684" t="s">
        <v>444</v>
      </c>
      <c r="M90" s="675"/>
      <c r="N90" s="676"/>
      <c r="P90" s="682">
        <v>78</v>
      </c>
      <c r="Q90" s="684" t="s">
        <v>444</v>
      </c>
      <c r="R90" s="675"/>
      <c r="S90" s="676"/>
    </row>
    <row r="91" spans="1:19">
      <c r="A91" s="682">
        <v>79</v>
      </c>
      <c r="B91" s="684" t="s">
        <v>445</v>
      </c>
      <c r="C91" s="675"/>
      <c r="D91" s="676"/>
      <c r="E91" s="698"/>
      <c r="F91" s="682">
        <v>79</v>
      </c>
      <c r="G91" s="684" t="s">
        <v>445</v>
      </c>
      <c r="H91" s="675"/>
      <c r="I91" s="676"/>
      <c r="K91" s="682">
        <v>79</v>
      </c>
      <c r="L91" s="684" t="s">
        <v>445</v>
      </c>
      <c r="M91" s="675"/>
      <c r="N91" s="676"/>
      <c r="P91" s="682">
        <v>79</v>
      </c>
      <c r="Q91" s="684" t="s">
        <v>445</v>
      </c>
      <c r="R91" s="675"/>
      <c r="S91" s="676"/>
    </row>
    <row r="92" spans="1:19">
      <c r="A92" s="682">
        <v>80</v>
      </c>
      <c r="B92" s="684" t="s">
        <v>446</v>
      </c>
      <c r="C92" s="675"/>
      <c r="D92" s="676"/>
      <c r="E92" s="698"/>
      <c r="F92" s="682">
        <v>80</v>
      </c>
      <c r="G92" s="684" t="s">
        <v>446</v>
      </c>
      <c r="H92" s="675"/>
      <c r="I92" s="676"/>
      <c r="K92" s="682">
        <v>80</v>
      </c>
      <c r="L92" s="684" t="s">
        <v>446</v>
      </c>
      <c r="M92" s="675"/>
      <c r="N92" s="676"/>
      <c r="P92" s="682">
        <v>80</v>
      </c>
      <c r="Q92" s="684" t="s">
        <v>446</v>
      </c>
      <c r="R92" s="675"/>
      <c r="S92" s="676"/>
    </row>
    <row r="93" spans="1:19">
      <c r="A93" s="682">
        <v>81</v>
      </c>
      <c r="B93" s="684" t="s">
        <v>447</v>
      </c>
      <c r="C93" s="675"/>
      <c r="D93" s="676"/>
      <c r="E93" s="698"/>
      <c r="F93" s="682">
        <v>81</v>
      </c>
      <c r="G93" s="684" t="s">
        <v>447</v>
      </c>
      <c r="H93" s="675"/>
      <c r="I93" s="676"/>
      <c r="K93" s="682">
        <v>81</v>
      </c>
      <c r="L93" s="684" t="s">
        <v>447</v>
      </c>
      <c r="M93" s="675"/>
      <c r="N93" s="676"/>
      <c r="P93" s="682">
        <v>81</v>
      </c>
      <c r="Q93" s="684" t="s">
        <v>447</v>
      </c>
      <c r="R93" s="675"/>
      <c r="S93" s="676"/>
    </row>
    <row r="94" spans="1:19">
      <c r="A94" s="682">
        <v>82</v>
      </c>
      <c r="B94" s="684" t="s">
        <v>448</v>
      </c>
      <c r="C94" s="675"/>
      <c r="D94" s="676"/>
      <c r="E94" s="698"/>
      <c r="F94" s="682">
        <v>82</v>
      </c>
      <c r="G94" s="684" t="s">
        <v>448</v>
      </c>
      <c r="H94" s="675"/>
      <c r="I94" s="676"/>
      <c r="K94" s="682">
        <v>82</v>
      </c>
      <c r="L94" s="684" t="s">
        <v>448</v>
      </c>
      <c r="M94" s="675"/>
      <c r="N94" s="676"/>
      <c r="P94" s="682">
        <v>82</v>
      </c>
      <c r="Q94" s="684" t="s">
        <v>448</v>
      </c>
      <c r="R94" s="675"/>
      <c r="S94" s="676"/>
    </row>
    <row r="95" spans="1:19">
      <c r="A95" s="682">
        <v>83</v>
      </c>
      <c r="B95" s="684" t="s">
        <v>449</v>
      </c>
      <c r="C95" s="675"/>
      <c r="D95" s="676"/>
      <c r="E95" s="698"/>
      <c r="F95" s="682">
        <v>83</v>
      </c>
      <c r="G95" s="684" t="s">
        <v>449</v>
      </c>
      <c r="H95" s="675"/>
      <c r="I95" s="676"/>
      <c r="K95" s="682">
        <v>83</v>
      </c>
      <c r="L95" s="684" t="s">
        <v>449</v>
      </c>
      <c r="M95" s="675"/>
      <c r="N95" s="676"/>
      <c r="P95" s="682">
        <v>83</v>
      </c>
      <c r="Q95" s="684" t="s">
        <v>449</v>
      </c>
      <c r="R95" s="675"/>
      <c r="S95" s="676"/>
    </row>
    <row r="96" spans="1:19">
      <c r="A96" s="682">
        <v>84</v>
      </c>
      <c r="B96" s="684" t="s">
        <v>450</v>
      </c>
      <c r="C96" s="675"/>
      <c r="D96" s="676"/>
      <c r="E96" s="698"/>
      <c r="F96" s="682">
        <v>84</v>
      </c>
      <c r="G96" s="684" t="s">
        <v>450</v>
      </c>
      <c r="H96" s="675"/>
      <c r="I96" s="676"/>
      <c r="K96" s="682">
        <v>84</v>
      </c>
      <c r="L96" s="684" t="s">
        <v>450</v>
      </c>
      <c r="M96" s="675"/>
      <c r="N96" s="676"/>
      <c r="P96" s="682">
        <v>84</v>
      </c>
      <c r="Q96" s="684" t="s">
        <v>450</v>
      </c>
      <c r="R96" s="675"/>
      <c r="S96" s="676"/>
    </row>
    <row r="97" spans="1:19">
      <c r="A97" s="682">
        <v>85</v>
      </c>
      <c r="B97" s="684" t="s">
        <v>451</v>
      </c>
      <c r="C97" s="675"/>
      <c r="D97" s="676"/>
      <c r="E97" s="698"/>
      <c r="F97" s="682">
        <v>85</v>
      </c>
      <c r="G97" s="684" t="s">
        <v>451</v>
      </c>
      <c r="H97" s="675"/>
      <c r="I97" s="676"/>
      <c r="K97" s="682">
        <v>85</v>
      </c>
      <c r="L97" s="684" t="s">
        <v>451</v>
      </c>
      <c r="M97" s="675"/>
      <c r="N97" s="676"/>
      <c r="P97" s="682">
        <v>85</v>
      </c>
      <c r="Q97" s="684" t="s">
        <v>451</v>
      </c>
      <c r="R97" s="675"/>
      <c r="S97" s="676"/>
    </row>
    <row r="98" spans="1:19">
      <c r="A98" s="682">
        <v>86</v>
      </c>
      <c r="B98" s="684" t="s">
        <v>452</v>
      </c>
      <c r="C98" s="675"/>
      <c r="D98" s="676"/>
      <c r="E98" s="698"/>
      <c r="F98" s="682">
        <v>86</v>
      </c>
      <c r="G98" s="684" t="s">
        <v>452</v>
      </c>
      <c r="H98" s="675"/>
      <c r="I98" s="676"/>
      <c r="K98" s="682">
        <v>86</v>
      </c>
      <c r="L98" s="684" t="s">
        <v>452</v>
      </c>
      <c r="M98" s="675"/>
      <c r="N98" s="676"/>
      <c r="P98" s="682">
        <v>86</v>
      </c>
      <c r="Q98" s="684" t="s">
        <v>452</v>
      </c>
      <c r="R98" s="675"/>
      <c r="S98" s="676"/>
    </row>
    <row r="99" spans="1:19">
      <c r="A99" s="682">
        <v>87</v>
      </c>
      <c r="B99" s="684" t="s">
        <v>453</v>
      </c>
      <c r="C99" s="675"/>
      <c r="D99" s="676"/>
      <c r="E99" s="698"/>
      <c r="F99" s="682">
        <v>87</v>
      </c>
      <c r="G99" s="684" t="s">
        <v>453</v>
      </c>
      <c r="H99" s="675"/>
      <c r="I99" s="676"/>
      <c r="K99" s="682">
        <v>87</v>
      </c>
      <c r="L99" s="684" t="s">
        <v>453</v>
      </c>
      <c r="M99" s="675"/>
      <c r="N99" s="676"/>
      <c r="P99" s="682">
        <v>87</v>
      </c>
      <c r="Q99" s="684" t="s">
        <v>453</v>
      </c>
      <c r="R99" s="675"/>
      <c r="S99" s="676"/>
    </row>
    <row r="100" spans="1:19">
      <c r="A100" s="682">
        <v>88</v>
      </c>
      <c r="B100" s="684" t="s">
        <v>454</v>
      </c>
      <c r="C100" s="675"/>
      <c r="D100" s="676"/>
      <c r="E100" s="698"/>
      <c r="F100" s="682">
        <v>88</v>
      </c>
      <c r="G100" s="684" t="s">
        <v>454</v>
      </c>
      <c r="H100" s="675"/>
      <c r="I100" s="676"/>
      <c r="K100" s="682">
        <v>88</v>
      </c>
      <c r="L100" s="684" t="s">
        <v>454</v>
      </c>
      <c r="M100" s="675"/>
      <c r="N100" s="676"/>
      <c r="P100" s="682">
        <v>88</v>
      </c>
      <c r="Q100" s="684" t="s">
        <v>454</v>
      </c>
      <c r="R100" s="675"/>
      <c r="S100" s="676"/>
    </row>
    <row r="101" spans="1:19">
      <c r="A101" s="682">
        <v>89</v>
      </c>
      <c r="B101" s="684" t="s">
        <v>455</v>
      </c>
      <c r="C101" s="675"/>
      <c r="D101" s="676"/>
      <c r="E101" s="698"/>
      <c r="F101" s="682">
        <v>89</v>
      </c>
      <c r="G101" s="684" t="s">
        <v>455</v>
      </c>
      <c r="H101" s="675"/>
      <c r="I101" s="676"/>
      <c r="K101" s="682">
        <v>89</v>
      </c>
      <c r="L101" s="684" t="s">
        <v>455</v>
      </c>
      <c r="M101" s="675"/>
      <c r="N101" s="676"/>
      <c r="P101" s="682">
        <v>89</v>
      </c>
      <c r="Q101" s="684" t="s">
        <v>455</v>
      </c>
      <c r="R101" s="675"/>
      <c r="S101" s="676"/>
    </row>
    <row r="102" spans="1:19">
      <c r="A102" s="682">
        <v>90</v>
      </c>
      <c r="B102" s="684" t="s">
        <v>456</v>
      </c>
      <c r="C102" s="675"/>
      <c r="D102" s="676"/>
      <c r="E102" s="698"/>
      <c r="F102" s="682">
        <v>90</v>
      </c>
      <c r="G102" s="684" t="s">
        <v>456</v>
      </c>
      <c r="H102" s="675"/>
      <c r="I102" s="676"/>
      <c r="K102" s="682">
        <v>90</v>
      </c>
      <c r="L102" s="684" t="s">
        <v>456</v>
      </c>
      <c r="M102" s="675"/>
      <c r="N102" s="676"/>
      <c r="P102" s="682">
        <v>90</v>
      </c>
      <c r="Q102" s="684" t="s">
        <v>456</v>
      </c>
      <c r="R102" s="675"/>
      <c r="S102" s="676"/>
    </row>
    <row r="103" spans="1:19">
      <c r="A103" s="682">
        <v>91</v>
      </c>
      <c r="B103" s="684" t="s">
        <v>457</v>
      </c>
      <c r="C103" s="675"/>
      <c r="D103" s="676"/>
      <c r="E103" s="698"/>
      <c r="F103" s="682">
        <v>91</v>
      </c>
      <c r="G103" s="684" t="s">
        <v>457</v>
      </c>
      <c r="H103" s="675"/>
      <c r="I103" s="676"/>
      <c r="K103" s="682">
        <v>91</v>
      </c>
      <c r="L103" s="684" t="s">
        <v>457</v>
      </c>
      <c r="M103" s="675"/>
      <c r="N103" s="676"/>
      <c r="P103" s="682">
        <v>91</v>
      </c>
      <c r="Q103" s="684" t="s">
        <v>457</v>
      </c>
      <c r="R103" s="675"/>
      <c r="S103" s="676"/>
    </row>
    <row r="104" spans="1:19">
      <c r="A104" s="682">
        <v>92</v>
      </c>
      <c r="B104" s="684" t="s">
        <v>458</v>
      </c>
      <c r="C104" s="675"/>
      <c r="D104" s="676"/>
      <c r="E104" s="698"/>
      <c r="F104" s="682">
        <v>92</v>
      </c>
      <c r="G104" s="684" t="s">
        <v>458</v>
      </c>
      <c r="H104" s="675"/>
      <c r="I104" s="676"/>
      <c r="K104" s="682">
        <v>92</v>
      </c>
      <c r="L104" s="684" t="s">
        <v>458</v>
      </c>
      <c r="M104" s="675"/>
      <c r="N104" s="676"/>
      <c r="P104" s="682">
        <v>92</v>
      </c>
      <c r="Q104" s="684" t="s">
        <v>458</v>
      </c>
      <c r="R104" s="675"/>
      <c r="S104" s="676"/>
    </row>
    <row r="105" spans="1:19">
      <c r="A105" s="682">
        <v>93</v>
      </c>
      <c r="B105" s="684" t="s">
        <v>459</v>
      </c>
      <c r="C105" s="675"/>
      <c r="D105" s="676"/>
      <c r="E105" s="698"/>
      <c r="F105" s="682">
        <v>93</v>
      </c>
      <c r="G105" s="684" t="s">
        <v>459</v>
      </c>
      <c r="H105" s="675"/>
      <c r="I105" s="676"/>
      <c r="K105" s="682">
        <v>93</v>
      </c>
      <c r="L105" s="684" t="s">
        <v>459</v>
      </c>
      <c r="M105" s="675"/>
      <c r="N105" s="676"/>
      <c r="P105" s="682">
        <v>93</v>
      </c>
      <c r="Q105" s="684" t="s">
        <v>459</v>
      </c>
      <c r="R105" s="675"/>
      <c r="S105" s="676"/>
    </row>
    <row r="106" spans="1:19">
      <c r="A106" s="682">
        <v>94</v>
      </c>
      <c r="B106" s="684" t="s">
        <v>460</v>
      </c>
      <c r="C106" s="675"/>
      <c r="D106" s="676"/>
      <c r="E106" s="698"/>
      <c r="F106" s="682">
        <v>94</v>
      </c>
      <c r="G106" s="684" t="s">
        <v>460</v>
      </c>
      <c r="H106" s="675"/>
      <c r="I106" s="676"/>
      <c r="K106" s="682">
        <v>94</v>
      </c>
      <c r="L106" s="684" t="s">
        <v>460</v>
      </c>
      <c r="M106" s="675"/>
      <c r="N106" s="676"/>
      <c r="P106" s="682">
        <v>94</v>
      </c>
      <c r="Q106" s="684" t="s">
        <v>460</v>
      </c>
      <c r="R106" s="675"/>
      <c r="S106" s="676"/>
    </row>
    <row r="107" spans="1:19">
      <c r="A107" s="682">
        <v>95</v>
      </c>
      <c r="B107" s="684" t="s">
        <v>461</v>
      </c>
      <c r="C107" s="675"/>
      <c r="D107" s="676"/>
      <c r="E107" s="698"/>
      <c r="F107" s="682">
        <v>95</v>
      </c>
      <c r="G107" s="684" t="s">
        <v>461</v>
      </c>
      <c r="H107" s="675"/>
      <c r="I107" s="676"/>
      <c r="K107" s="682">
        <v>95</v>
      </c>
      <c r="L107" s="684" t="s">
        <v>461</v>
      </c>
      <c r="M107" s="675"/>
      <c r="N107" s="676"/>
      <c r="P107" s="682">
        <v>95</v>
      </c>
      <c r="Q107" s="684" t="s">
        <v>461</v>
      </c>
      <c r="R107" s="675"/>
      <c r="S107" s="676"/>
    </row>
    <row r="108" spans="1:19">
      <c r="A108" s="682">
        <v>96</v>
      </c>
      <c r="B108" s="684" t="s">
        <v>462</v>
      </c>
      <c r="C108" s="675"/>
      <c r="D108" s="676"/>
      <c r="E108" s="698"/>
      <c r="F108" s="682">
        <v>96</v>
      </c>
      <c r="G108" s="684" t="s">
        <v>462</v>
      </c>
      <c r="H108" s="675"/>
      <c r="I108" s="676"/>
      <c r="K108" s="682">
        <v>96</v>
      </c>
      <c r="L108" s="684" t="s">
        <v>462</v>
      </c>
      <c r="M108" s="675"/>
      <c r="N108" s="676"/>
      <c r="P108" s="682">
        <v>96</v>
      </c>
      <c r="Q108" s="684" t="s">
        <v>462</v>
      </c>
      <c r="R108" s="675"/>
      <c r="S108" s="676"/>
    </row>
    <row r="109" spans="1:19">
      <c r="A109" s="682">
        <v>97</v>
      </c>
      <c r="B109" s="684" t="s">
        <v>463</v>
      </c>
      <c r="C109" s="675"/>
      <c r="D109" s="676"/>
      <c r="E109" s="698"/>
      <c r="F109" s="682">
        <v>97</v>
      </c>
      <c r="G109" s="684" t="s">
        <v>463</v>
      </c>
      <c r="H109" s="675"/>
      <c r="I109" s="676"/>
      <c r="K109" s="682">
        <v>97</v>
      </c>
      <c r="L109" s="684" t="s">
        <v>463</v>
      </c>
      <c r="M109" s="675"/>
      <c r="N109" s="676"/>
      <c r="P109" s="682">
        <v>97</v>
      </c>
      <c r="Q109" s="684" t="s">
        <v>463</v>
      </c>
      <c r="R109" s="675"/>
      <c r="S109" s="676"/>
    </row>
    <row r="110" spans="1:19">
      <c r="A110" s="682">
        <v>98</v>
      </c>
      <c r="B110" s="684" t="s">
        <v>464</v>
      </c>
      <c r="C110" s="675"/>
      <c r="D110" s="676"/>
      <c r="E110" s="698"/>
      <c r="F110" s="682">
        <v>98</v>
      </c>
      <c r="G110" s="684" t="s">
        <v>464</v>
      </c>
      <c r="H110" s="675"/>
      <c r="I110" s="676"/>
      <c r="K110" s="682">
        <v>98</v>
      </c>
      <c r="L110" s="684" t="s">
        <v>464</v>
      </c>
      <c r="M110" s="675"/>
      <c r="N110" s="676"/>
      <c r="P110" s="682">
        <v>98</v>
      </c>
      <c r="Q110" s="684" t="s">
        <v>464</v>
      </c>
      <c r="R110" s="675"/>
      <c r="S110" s="676"/>
    </row>
    <row r="111" spans="1:19">
      <c r="A111" s="682">
        <v>99</v>
      </c>
      <c r="B111" s="684" t="s">
        <v>465</v>
      </c>
      <c r="C111" s="675"/>
      <c r="D111" s="676"/>
      <c r="E111" s="698"/>
      <c r="F111" s="682">
        <v>99</v>
      </c>
      <c r="G111" s="684" t="s">
        <v>465</v>
      </c>
      <c r="H111" s="675"/>
      <c r="I111" s="676"/>
      <c r="K111" s="682">
        <v>99</v>
      </c>
      <c r="L111" s="684" t="s">
        <v>465</v>
      </c>
      <c r="M111" s="675"/>
      <c r="N111" s="676"/>
      <c r="P111" s="682">
        <v>99</v>
      </c>
      <c r="Q111" s="684" t="s">
        <v>465</v>
      </c>
      <c r="R111" s="675"/>
      <c r="S111" s="676"/>
    </row>
    <row r="112" spans="1:19" ht="13.5" thickBot="1">
      <c r="A112" s="685">
        <v>100</v>
      </c>
      <c r="B112" s="686" t="s">
        <v>466</v>
      </c>
      <c r="C112" s="687"/>
      <c r="D112" s="688"/>
      <c r="E112" s="698"/>
      <c r="F112" s="685">
        <v>100</v>
      </c>
      <c r="G112" s="686" t="s">
        <v>466</v>
      </c>
      <c r="H112" s="687"/>
      <c r="I112" s="688"/>
      <c r="K112" s="685">
        <v>100</v>
      </c>
      <c r="L112" s="686" t="s">
        <v>466</v>
      </c>
      <c r="M112" s="687"/>
      <c r="N112" s="688"/>
      <c r="P112" s="685">
        <v>100</v>
      </c>
      <c r="Q112" s="686" t="s">
        <v>466</v>
      </c>
      <c r="R112" s="687"/>
      <c r="S112" s="688"/>
    </row>
    <row r="118" spans="1:4">
      <c r="A118" s="704" t="s">
        <v>472</v>
      </c>
    </row>
    <row r="119" spans="1:4" ht="13.5" thickBot="1"/>
    <row r="120" spans="1:4" ht="13.5" thickBot="1">
      <c r="A120" s="689"/>
      <c r="B120" s="690"/>
      <c r="C120" s="690"/>
      <c r="D120" s="691"/>
    </row>
    <row r="121" spans="1:4" ht="13.5" thickBot="1">
      <c r="A121" s="693"/>
      <c r="B121" s="694"/>
      <c r="C121" s="694"/>
      <c r="D121" s="695"/>
    </row>
    <row r="122" spans="1:4" ht="15.75" thickBot="1">
      <c r="A122" s="1000" t="e">
        <v>#REF!</v>
      </c>
      <c r="B122" s="1001"/>
      <c r="C122" s="672"/>
      <c r="D122" s="673"/>
    </row>
    <row r="123" spans="1:4">
      <c r="A123" s="1002"/>
      <c r="B123" s="1003"/>
      <c r="C123" s="672"/>
      <c r="D123" s="673"/>
    </row>
    <row r="124" spans="1:4">
      <c r="A124" s="674"/>
      <c r="B124" s="675"/>
      <c r="C124" s="675"/>
      <c r="D124" s="676"/>
    </row>
    <row r="125" spans="1:4">
      <c r="A125" s="1004" t="e">
        <f>IF(OR((A122&gt;9999999999),(A122&lt;0)),"Invalid Entry - More than 1000 crore OR -ve value",IF(A122=0, "",+CONCATENATE(U121,B132,D132,B131,D131,B130,D130,B129,D129,B128,D128,B127," Only")))</f>
        <v>#REF!</v>
      </c>
      <c r="B125" s="1005"/>
      <c r="C125" s="1005"/>
      <c r="D125" s="1006"/>
    </row>
    <row r="126" spans="1:4">
      <c r="A126" s="674"/>
      <c r="B126" s="675"/>
      <c r="C126" s="675"/>
      <c r="D126" s="676"/>
    </row>
    <row r="127" spans="1:4">
      <c r="A127" s="677" t="e">
        <f>-INT(A122/100)*100+ROUND(A122,0)</f>
        <v>#REF!</v>
      </c>
      <c r="B127" s="675" t="e">
        <f t="shared" ref="B127:B132" si="6">IF(A127=0,"",LOOKUP(A127,$A$13:$A$112,$B$13:$B$112))</f>
        <v>#REF!</v>
      </c>
      <c r="C127" s="675"/>
      <c r="D127" s="678"/>
    </row>
    <row r="128" spans="1:4">
      <c r="A128" s="677" t="e">
        <f>-INT(A122/1000)*10+INT(A122/100)</f>
        <v>#REF!</v>
      </c>
      <c r="B128" s="675" t="e">
        <f t="shared" si="6"/>
        <v>#REF!</v>
      </c>
      <c r="C128" s="675"/>
      <c r="D128" s="678" t="e">
        <f>+IF(B128="",""," Hundred ")</f>
        <v>#REF!</v>
      </c>
    </row>
    <row r="129" spans="1:4">
      <c r="A129" s="677" t="e">
        <f>-INT(A122/100000)*100+INT(A122/1000)</f>
        <v>#REF!</v>
      </c>
      <c r="B129" s="675" t="e">
        <f t="shared" si="6"/>
        <v>#REF!</v>
      </c>
      <c r="C129" s="675"/>
      <c r="D129" s="678" t="e">
        <f>IF((B129=""),IF(C129="",""," Thousand ")," Thousand ")</f>
        <v>#REF!</v>
      </c>
    </row>
    <row r="130" spans="1:4">
      <c r="A130" s="677" t="e">
        <f>-INT(A122/10000000)*100+INT(A122/100000)</f>
        <v>#REF!</v>
      </c>
      <c r="B130" s="675" t="e">
        <f t="shared" si="6"/>
        <v>#REF!</v>
      </c>
      <c r="C130" s="675"/>
      <c r="D130" s="678" t="e">
        <f>IF((B130=""),IF(C130="",""," Lac ")," Lac ")</f>
        <v>#REF!</v>
      </c>
    </row>
    <row r="131" spans="1:4">
      <c r="A131" s="677" t="e">
        <f>-INT(A122/1000000000)*100+INT(A122/10000000)</f>
        <v>#REF!</v>
      </c>
      <c r="B131" s="679" t="e">
        <f t="shared" si="6"/>
        <v>#REF!</v>
      </c>
      <c r="C131" s="675"/>
      <c r="D131" s="678" t="e">
        <f>IF((B131=""),IF(C131="",""," Crore ")," Crore ")</f>
        <v>#REF!</v>
      </c>
    </row>
    <row r="132" spans="1:4">
      <c r="A132" s="680" t="e">
        <f>-INT(A122/10000000000)*1000+INT(A122/1000000000)</f>
        <v>#REF!</v>
      </c>
      <c r="B132" s="679" t="e">
        <f t="shared" si="6"/>
        <v>#REF!</v>
      </c>
      <c r="C132" s="675"/>
      <c r="D132" s="678" t="e">
        <f>IF((B132=""),IF(C132="",""," Hundred ")," Hundred ")</f>
        <v>#REF!</v>
      </c>
    </row>
    <row r="133" spans="1:4">
      <c r="A133" s="681"/>
      <c r="B133" s="675"/>
      <c r="C133" s="675"/>
      <c r="D133" s="676"/>
    </row>
    <row r="134" spans="1:4">
      <c r="A134" s="682">
        <v>1</v>
      </c>
      <c r="B134" s="683" t="s">
        <v>367</v>
      </c>
      <c r="C134" s="675"/>
      <c r="D134" s="676"/>
    </row>
    <row r="135" spans="1:4">
      <c r="A135" s="682">
        <v>2</v>
      </c>
      <c r="B135" s="683" t="s">
        <v>368</v>
      </c>
      <c r="C135" s="675"/>
      <c r="D135" s="676"/>
    </row>
    <row r="136" spans="1:4">
      <c r="A136" s="682">
        <v>3</v>
      </c>
      <c r="B136" s="683" t="s">
        <v>369</v>
      </c>
      <c r="C136" s="675"/>
      <c r="D136" s="676"/>
    </row>
    <row r="137" spans="1:4">
      <c r="A137" s="682">
        <v>4</v>
      </c>
      <c r="B137" s="683" t="s">
        <v>370</v>
      </c>
      <c r="C137" s="675"/>
      <c r="D137" s="676"/>
    </row>
    <row r="138" spans="1:4">
      <c r="A138" s="682">
        <v>5</v>
      </c>
      <c r="B138" s="683" t="s">
        <v>371</v>
      </c>
      <c r="C138" s="675"/>
      <c r="D138" s="676"/>
    </row>
    <row r="139" spans="1:4">
      <c r="A139" s="682">
        <v>6</v>
      </c>
      <c r="B139" s="683" t="s">
        <v>372</v>
      </c>
      <c r="C139" s="675"/>
      <c r="D139" s="676"/>
    </row>
    <row r="140" spans="1:4">
      <c r="A140" s="682">
        <v>7</v>
      </c>
      <c r="B140" s="683" t="s">
        <v>373</v>
      </c>
      <c r="C140" s="675"/>
      <c r="D140" s="676"/>
    </row>
    <row r="141" spans="1:4">
      <c r="A141" s="682">
        <v>8</v>
      </c>
      <c r="B141" s="683" t="s">
        <v>374</v>
      </c>
      <c r="C141" s="675"/>
      <c r="D141" s="676"/>
    </row>
    <row r="142" spans="1:4">
      <c r="A142" s="682">
        <v>9</v>
      </c>
      <c r="B142" s="683" t="s">
        <v>375</v>
      </c>
      <c r="C142" s="675"/>
      <c r="D142" s="676"/>
    </row>
    <row r="143" spans="1:4">
      <c r="A143" s="682">
        <v>10</v>
      </c>
      <c r="B143" s="683" t="s">
        <v>376</v>
      </c>
      <c r="C143" s="675"/>
      <c r="D143" s="676"/>
    </row>
    <row r="144" spans="1:4">
      <c r="A144" s="682">
        <v>11</v>
      </c>
      <c r="B144" s="683" t="s">
        <v>377</v>
      </c>
      <c r="C144" s="675"/>
      <c r="D144" s="676"/>
    </row>
    <row r="145" spans="1:4">
      <c r="A145" s="682">
        <v>12</v>
      </c>
      <c r="B145" s="683" t="s">
        <v>378</v>
      </c>
      <c r="C145" s="675"/>
      <c r="D145" s="676"/>
    </row>
    <row r="146" spans="1:4">
      <c r="A146" s="682">
        <v>13</v>
      </c>
      <c r="B146" s="683" t="s">
        <v>379</v>
      </c>
      <c r="C146" s="675"/>
      <c r="D146" s="676"/>
    </row>
    <row r="147" spans="1:4">
      <c r="A147" s="682">
        <v>14</v>
      </c>
      <c r="B147" s="683" t="s">
        <v>380</v>
      </c>
      <c r="C147" s="675"/>
      <c r="D147" s="676"/>
    </row>
    <row r="148" spans="1:4">
      <c r="A148" s="682">
        <v>15</v>
      </c>
      <c r="B148" s="683" t="s">
        <v>381</v>
      </c>
      <c r="C148" s="675"/>
      <c r="D148" s="676"/>
    </row>
    <row r="149" spans="1:4">
      <c r="A149" s="682">
        <v>16</v>
      </c>
      <c r="B149" s="683" t="s">
        <v>382</v>
      </c>
      <c r="C149" s="675"/>
      <c r="D149" s="676"/>
    </row>
    <row r="150" spans="1:4">
      <c r="A150" s="682">
        <v>17</v>
      </c>
      <c r="B150" s="683" t="s">
        <v>383</v>
      </c>
      <c r="C150" s="675"/>
      <c r="D150" s="676"/>
    </row>
    <row r="151" spans="1:4">
      <c r="A151" s="682">
        <v>18</v>
      </c>
      <c r="B151" s="683" t="s">
        <v>384</v>
      </c>
      <c r="C151" s="675"/>
      <c r="D151" s="676"/>
    </row>
    <row r="152" spans="1:4">
      <c r="A152" s="682">
        <v>19</v>
      </c>
      <c r="B152" s="683" t="s">
        <v>385</v>
      </c>
      <c r="C152" s="675"/>
      <c r="D152" s="676"/>
    </row>
    <row r="153" spans="1:4">
      <c r="A153" s="682">
        <v>20</v>
      </c>
      <c r="B153" s="683" t="s">
        <v>386</v>
      </c>
      <c r="C153" s="675"/>
      <c r="D153" s="676"/>
    </row>
    <row r="154" spans="1:4">
      <c r="A154" s="682">
        <v>21</v>
      </c>
      <c r="B154" s="683" t="s">
        <v>387</v>
      </c>
      <c r="C154" s="675"/>
      <c r="D154" s="676"/>
    </row>
    <row r="155" spans="1:4">
      <c r="A155" s="682">
        <v>22</v>
      </c>
      <c r="B155" s="683" t="s">
        <v>388</v>
      </c>
      <c r="C155" s="675"/>
      <c r="D155" s="676"/>
    </row>
    <row r="156" spans="1:4">
      <c r="A156" s="682">
        <v>23</v>
      </c>
      <c r="B156" s="683" t="s">
        <v>389</v>
      </c>
      <c r="C156" s="675"/>
      <c r="D156" s="676"/>
    </row>
    <row r="157" spans="1:4">
      <c r="A157" s="682">
        <v>24</v>
      </c>
      <c r="B157" s="683" t="s">
        <v>390</v>
      </c>
      <c r="C157" s="675"/>
      <c r="D157" s="676"/>
    </row>
    <row r="158" spans="1:4">
      <c r="A158" s="682">
        <v>25</v>
      </c>
      <c r="B158" s="683" t="s">
        <v>391</v>
      </c>
      <c r="C158" s="675"/>
      <c r="D158" s="676"/>
    </row>
    <row r="159" spans="1:4">
      <c r="A159" s="682">
        <v>26</v>
      </c>
      <c r="B159" s="683" t="s">
        <v>392</v>
      </c>
      <c r="C159" s="675"/>
      <c r="D159" s="676"/>
    </row>
    <row r="160" spans="1:4">
      <c r="A160" s="682">
        <v>27</v>
      </c>
      <c r="B160" s="683" t="s">
        <v>393</v>
      </c>
      <c r="C160" s="675"/>
      <c r="D160" s="676"/>
    </row>
    <row r="161" spans="1:4">
      <c r="A161" s="682">
        <v>28</v>
      </c>
      <c r="B161" s="683" t="s">
        <v>394</v>
      </c>
      <c r="C161" s="675"/>
      <c r="D161" s="676"/>
    </row>
    <row r="162" spans="1:4">
      <c r="A162" s="682">
        <v>29</v>
      </c>
      <c r="B162" s="683" t="s">
        <v>395</v>
      </c>
      <c r="C162" s="675"/>
      <c r="D162" s="676"/>
    </row>
    <row r="163" spans="1:4">
      <c r="A163" s="682">
        <v>30</v>
      </c>
      <c r="B163" s="683" t="s">
        <v>396</v>
      </c>
      <c r="C163" s="675"/>
      <c r="D163" s="676"/>
    </row>
    <row r="164" spans="1:4">
      <c r="A164" s="682">
        <v>31</v>
      </c>
      <c r="B164" s="683" t="s">
        <v>397</v>
      </c>
      <c r="C164" s="675"/>
      <c r="D164" s="676"/>
    </row>
    <row r="165" spans="1:4">
      <c r="A165" s="682">
        <v>32</v>
      </c>
      <c r="B165" s="683" t="s">
        <v>398</v>
      </c>
      <c r="C165" s="675"/>
      <c r="D165" s="676"/>
    </row>
    <row r="166" spans="1:4">
      <c r="A166" s="682">
        <v>33</v>
      </c>
      <c r="B166" s="683" t="s">
        <v>399</v>
      </c>
      <c r="C166" s="675"/>
      <c r="D166" s="676"/>
    </row>
    <row r="167" spans="1:4">
      <c r="A167" s="682">
        <v>34</v>
      </c>
      <c r="B167" s="683" t="s">
        <v>400</v>
      </c>
      <c r="C167" s="675"/>
      <c r="D167" s="676"/>
    </row>
    <row r="168" spans="1:4">
      <c r="A168" s="682">
        <v>35</v>
      </c>
      <c r="B168" s="683" t="s">
        <v>401</v>
      </c>
      <c r="C168" s="675"/>
      <c r="D168" s="676"/>
    </row>
    <row r="169" spans="1:4">
      <c r="A169" s="682">
        <v>36</v>
      </c>
      <c r="B169" s="683" t="s">
        <v>402</v>
      </c>
      <c r="C169" s="675"/>
      <c r="D169" s="676"/>
    </row>
    <row r="170" spans="1:4">
      <c r="A170" s="682">
        <v>37</v>
      </c>
      <c r="B170" s="683" t="s">
        <v>403</v>
      </c>
      <c r="C170" s="675"/>
      <c r="D170" s="676"/>
    </row>
    <row r="171" spans="1:4">
      <c r="A171" s="682">
        <v>38</v>
      </c>
      <c r="B171" s="683" t="s">
        <v>404</v>
      </c>
      <c r="C171" s="675"/>
      <c r="D171" s="676"/>
    </row>
    <row r="172" spans="1:4">
      <c r="A172" s="682">
        <v>39</v>
      </c>
      <c r="B172" s="683" t="s">
        <v>405</v>
      </c>
      <c r="C172" s="675"/>
      <c r="D172" s="676"/>
    </row>
    <row r="173" spans="1:4">
      <c r="A173" s="682">
        <v>40</v>
      </c>
      <c r="B173" s="683" t="s">
        <v>406</v>
      </c>
      <c r="C173" s="675"/>
      <c r="D173" s="676"/>
    </row>
    <row r="174" spans="1:4">
      <c r="A174" s="682">
        <v>41</v>
      </c>
      <c r="B174" s="683" t="s">
        <v>407</v>
      </c>
      <c r="C174" s="675"/>
      <c r="D174" s="676"/>
    </row>
    <row r="175" spans="1:4">
      <c r="A175" s="682">
        <v>42</v>
      </c>
      <c r="B175" s="683" t="s">
        <v>408</v>
      </c>
      <c r="C175" s="675"/>
      <c r="D175" s="676"/>
    </row>
    <row r="176" spans="1:4">
      <c r="A176" s="682">
        <v>43</v>
      </c>
      <c r="B176" s="683" t="s">
        <v>409</v>
      </c>
      <c r="C176" s="675"/>
      <c r="D176" s="676"/>
    </row>
    <row r="177" spans="1:4">
      <c r="A177" s="682">
        <v>44</v>
      </c>
      <c r="B177" s="683" t="s">
        <v>410</v>
      </c>
      <c r="C177" s="675"/>
      <c r="D177" s="676"/>
    </row>
    <row r="178" spans="1:4">
      <c r="A178" s="682">
        <v>45</v>
      </c>
      <c r="B178" s="683" t="s">
        <v>411</v>
      </c>
      <c r="C178" s="675"/>
      <c r="D178" s="676"/>
    </row>
    <row r="179" spans="1:4">
      <c r="A179" s="682">
        <v>46</v>
      </c>
      <c r="B179" s="683" t="s">
        <v>412</v>
      </c>
      <c r="C179" s="675"/>
      <c r="D179" s="676"/>
    </row>
    <row r="180" spans="1:4">
      <c r="A180" s="682">
        <v>47</v>
      </c>
      <c r="B180" s="683" t="s">
        <v>413</v>
      </c>
      <c r="C180" s="675"/>
      <c r="D180" s="676"/>
    </row>
    <row r="181" spans="1:4">
      <c r="A181" s="682">
        <v>48</v>
      </c>
      <c r="B181" s="683" t="s">
        <v>414</v>
      </c>
      <c r="C181" s="675"/>
      <c r="D181" s="676"/>
    </row>
    <row r="182" spans="1:4">
      <c r="A182" s="682">
        <v>49</v>
      </c>
      <c r="B182" s="683" t="s">
        <v>415</v>
      </c>
      <c r="C182" s="675"/>
      <c r="D182" s="676"/>
    </row>
    <row r="183" spans="1:4">
      <c r="A183" s="682">
        <v>50</v>
      </c>
      <c r="B183" s="683" t="s">
        <v>416</v>
      </c>
      <c r="C183" s="675"/>
      <c r="D183" s="676"/>
    </row>
    <row r="184" spans="1:4">
      <c r="A184" s="682">
        <v>51</v>
      </c>
      <c r="B184" s="683" t="s">
        <v>417</v>
      </c>
      <c r="C184" s="675"/>
      <c r="D184" s="676"/>
    </row>
    <row r="185" spans="1:4">
      <c r="A185" s="682">
        <v>52</v>
      </c>
      <c r="B185" s="683" t="s">
        <v>418</v>
      </c>
      <c r="C185" s="675"/>
      <c r="D185" s="676"/>
    </row>
    <row r="186" spans="1:4">
      <c r="A186" s="682">
        <v>53</v>
      </c>
      <c r="B186" s="683" t="s">
        <v>419</v>
      </c>
      <c r="C186" s="675"/>
      <c r="D186" s="676"/>
    </row>
    <row r="187" spans="1:4">
      <c r="A187" s="682">
        <v>54</v>
      </c>
      <c r="B187" s="683" t="s">
        <v>420</v>
      </c>
      <c r="C187" s="675"/>
      <c r="D187" s="676"/>
    </row>
    <row r="188" spans="1:4">
      <c r="A188" s="682">
        <v>55</v>
      </c>
      <c r="B188" s="683" t="s">
        <v>421</v>
      </c>
      <c r="C188" s="675"/>
      <c r="D188" s="676"/>
    </row>
    <row r="189" spans="1:4">
      <c r="A189" s="682">
        <v>56</v>
      </c>
      <c r="B189" s="683" t="s">
        <v>422</v>
      </c>
      <c r="C189" s="675"/>
      <c r="D189" s="676"/>
    </row>
    <row r="190" spans="1:4">
      <c r="A190" s="682">
        <v>57</v>
      </c>
      <c r="B190" s="683" t="s">
        <v>423</v>
      </c>
      <c r="C190" s="675"/>
      <c r="D190" s="676"/>
    </row>
    <row r="191" spans="1:4">
      <c r="A191" s="682">
        <v>58</v>
      </c>
      <c r="B191" s="683" t="s">
        <v>424</v>
      </c>
      <c r="C191" s="675"/>
      <c r="D191" s="676"/>
    </row>
    <row r="192" spans="1:4">
      <c r="A192" s="682">
        <v>59</v>
      </c>
      <c r="B192" s="683" t="s">
        <v>425</v>
      </c>
      <c r="C192" s="675"/>
      <c r="D192" s="676"/>
    </row>
    <row r="193" spans="1:4">
      <c r="A193" s="682">
        <v>60</v>
      </c>
      <c r="B193" s="683" t="s">
        <v>426</v>
      </c>
      <c r="C193" s="675"/>
      <c r="D193" s="676"/>
    </row>
    <row r="194" spans="1:4">
      <c r="A194" s="682">
        <v>61</v>
      </c>
      <c r="B194" s="683" t="s">
        <v>427</v>
      </c>
      <c r="C194" s="675"/>
      <c r="D194" s="676"/>
    </row>
    <row r="195" spans="1:4">
      <c r="A195" s="682">
        <v>62</v>
      </c>
      <c r="B195" s="683" t="s">
        <v>428</v>
      </c>
      <c r="C195" s="675"/>
      <c r="D195" s="676"/>
    </row>
    <row r="196" spans="1:4">
      <c r="A196" s="682">
        <v>63</v>
      </c>
      <c r="B196" s="684" t="s">
        <v>429</v>
      </c>
      <c r="C196" s="675"/>
      <c r="D196" s="676"/>
    </row>
    <row r="197" spans="1:4">
      <c r="A197" s="682">
        <v>64</v>
      </c>
      <c r="B197" s="684" t="s">
        <v>430</v>
      </c>
      <c r="C197" s="675"/>
      <c r="D197" s="676"/>
    </row>
    <row r="198" spans="1:4">
      <c r="A198" s="682">
        <v>65</v>
      </c>
      <c r="B198" s="684" t="s">
        <v>431</v>
      </c>
      <c r="C198" s="675"/>
      <c r="D198" s="676"/>
    </row>
    <row r="199" spans="1:4">
      <c r="A199" s="682">
        <v>66</v>
      </c>
      <c r="B199" s="684" t="s">
        <v>432</v>
      </c>
      <c r="C199" s="675"/>
      <c r="D199" s="676"/>
    </row>
    <row r="200" spans="1:4">
      <c r="A200" s="682">
        <v>67</v>
      </c>
      <c r="B200" s="684" t="s">
        <v>433</v>
      </c>
      <c r="C200" s="675"/>
      <c r="D200" s="676"/>
    </row>
    <row r="201" spans="1:4">
      <c r="A201" s="682">
        <v>68</v>
      </c>
      <c r="B201" s="684" t="s">
        <v>434</v>
      </c>
      <c r="C201" s="675"/>
      <c r="D201" s="676"/>
    </row>
    <row r="202" spans="1:4">
      <c r="A202" s="682">
        <v>69</v>
      </c>
      <c r="B202" s="684" t="s">
        <v>435</v>
      </c>
      <c r="C202" s="675"/>
      <c r="D202" s="676"/>
    </row>
    <row r="203" spans="1:4">
      <c r="A203" s="682">
        <v>70</v>
      </c>
      <c r="B203" s="684" t="s">
        <v>436</v>
      </c>
      <c r="C203" s="675"/>
      <c r="D203" s="676"/>
    </row>
    <row r="204" spans="1:4">
      <c r="A204" s="682">
        <v>71</v>
      </c>
      <c r="B204" s="684" t="s">
        <v>437</v>
      </c>
      <c r="C204" s="675"/>
      <c r="D204" s="676"/>
    </row>
    <row r="205" spans="1:4">
      <c r="A205" s="682">
        <v>72</v>
      </c>
      <c r="B205" s="684" t="s">
        <v>438</v>
      </c>
      <c r="C205" s="675"/>
      <c r="D205" s="676"/>
    </row>
    <row r="206" spans="1:4">
      <c r="A206" s="682">
        <v>73</v>
      </c>
      <c r="B206" s="684" t="s">
        <v>439</v>
      </c>
      <c r="C206" s="675"/>
      <c r="D206" s="676"/>
    </row>
    <row r="207" spans="1:4">
      <c r="A207" s="682">
        <v>74</v>
      </c>
      <c r="B207" s="684" t="s">
        <v>440</v>
      </c>
      <c r="C207" s="675"/>
      <c r="D207" s="676"/>
    </row>
    <row r="208" spans="1:4">
      <c r="A208" s="682">
        <v>75</v>
      </c>
      <c r="B208" s="684" t="s">
        <v>441</v>
      </c>
      <c r="C208" s="675"/>
      <c r="D208" s="676"/>
    </row>
    <row r="209" spans="1:4">
      <c r="A209" s="682">
        <v>76</v>
      </c>
      <c r="B209" s="684" t="s">
        <v>442</v>
      </c>
      <c r="C209" s="675"/>
      <c r="D209" s="676"/>
    </row>
    <row r="210" spans="1:4">
      <c r="A210" s="682">
        <v>77</v>
      </c>
      <c r="B210" s="684" t="s">
        <v>443</v>
      </c>
      <c r="C210" s="675"/>
      <c r="D210" s="676"/>
    </row>
    <row r="211" spans="1:4">
      <c r="A211" s="682">
        <v>78</v>
      </c>
      <c r="B211" s="684" t="s">
        <v>444</v>
      </c>
      <c r="C211" s="675"/>
      <c r="D211" s="676"/>
    </row>
    <row r="212" spans="1:4">
      <c r="A212" s="682">
        <v>79</v>
      </c>
      <c r="B212" s="684" t="s">
        <v>445</v>
      </c>
      <c r="C212" s="675"/>
      <c r="D212" s="676"/>
    </row>
    <row r="213" spans="1:4">
      <c r="A213" s="682">
        <v>80</v>
      </c>
      <c r="B213" s="684" t="s">
        <v>446</v>
      </c>
      <c r="C213" s="675"/>
      <c r="D213" s="676"/>
    </row>
    <row r="214" spans="1:4">
      <c r="A214" s="682">
        <v>81</v>
      </c>
      <c r="B214" s="684" t="s">
        <v>447</v>
      </c>
      <c r="C214" s="675"/>
      <c r="D214" s="676"/>
    </row>
    <row r="215" spans="1:4">
      <c r="A215" s="682">
        <v>82</v>
      </c>
      <c r="B215" s="684" t="s">
        <v>448</v>
      </c>
      <c r="C215" s="675"/>
      <c r="D215" s="676"/>
    </row>
    <row r="216" spans="1:4">
      <c r="A216" s="682">
        <v>83</v>
      </c>
      <c r="B216" s="684" t="s">
        <v>449</v>
      </c>
      <c r="C216" s="675"/>
      <c r="D216" s="676"/>
    </row>
    <row r="217" spans="1:4">
      <c r="A217" s="682">
        <v>84</v>
      </c>
      <c r="B217" s="684" t="s">
        <v>450</v>
      </c>
      <c r="C217" s="675"/>
      <c r="D217" s="676"/>
    </row>
    <row r="218" spans="1:4">
      <c r="A218" s="682">
        <v>85</v>
      </c>
      <c r="B218" s="684" t="s">
        <v>451</v>
      </c>
      <c r="C218" s="675"/>
      <c r="D218" s="676"/>
    </row>
    <row r="219" spans="1:4">
      <c r="A219" s="682">
        <v>86</v>
      </c>
      <c r="B219" s="684" t="s">
        <v>452</v>
      </c>
      <c r="C219" s="675"/>
      <c r="D219" s="676"/>
    </row>
    <row r="220" spans="1:4">
      <c r="A220" s="682">
        <v>87</v>
      </c>
      <c r="B220" s="684" t="s">
        <v>453</v>
      </c>
      <c r="C220" s="675"/>
      <c r="D220" s="676"/>
    </row>
    <row r="221" spans="1:4">
      <c r="A221" s="682">
        <v>88</v>
      </c>
      <c r="B221" s="684" t="s">
        <v>454</v>
      </c>
      <c r="C221" s="675"/>
      <c r="D221" s="676"/>
    </row>
    <row r="222" spans="1:4">
      <c r="A222" s="682">
        <v>89</v>
      </c>
      <c r="B222" s="684" t="s">
        <v>455</v>
      </c>
      <c r="C222" s="675"/>
      <c r="D222" s="676"/>
    </row>
    <row r="223" spans="1:4">
      <c r="A223" s="682">
        <v>90</v>
      </c>
      <c r="B223" s="684" t="s">
        <v>456</v>
      </c>
      <c r="C223" s="675"/>
      <c r="D223" s="676"/>
    </row>
    <row r="224" spans="1:4">
      <c r="A224" s="682">
        <v>91</v>
      </c>
      <c r="B224" s="684" t="s">
        <v>457</v>
      </c>
      <c r="C224" s="675"/>
      <c r="D224" s="676"/>
    </row>
    <row r="225" spans="1:4">
      <c r="A225" s="682">
        <v>92</v>
      </c>
      <c r="B225" s="684" t="s">
        <v>458</v>
      </c>
      <c r="C225" s="675"/>
      <c r="D225" s="676"/>
    </row>
    <row r="226" spans="1:4">
      <c r="A226" s="682">
        <v>93</v>
      </c>
      <c r="B226" s="684" t="s">
        <v>459</v>
      </c>
      <c r="C226" s="675"/>
      <c r="D226" s="676"/>
    </row>
    <row r="227" spans="1:4">
      <c r="A227" s="682">
        <v>94</v>
      </c>
      <c r="B227" s="684" t="s">
        <v>460</v>
      </c>
      <c r="C227" s="675"/>
      <c r="D227" s="676"/>
    </row>
    <row r="228" spans="1:4">
      <c r="A228" s="682">
        <v>95</v>
      </c>
      <c r="B228" s="684" t="s">
        <v>461</v>
      </c>
      <c r="C228" s="675"/>
      <c r="D228" s="676"/>
    </row>
    <row r="229" spans="1:4">
      <c r="A229" s="682">
        <v>96</v>
      </c>
      <c r="B229" s="684" t="s">
        <v>462</v>
      </c>
      <c r="C229" s="675"/>
      <c r="D229" s="676"/>
    </row>
    <row r="230" spans="1:4">
      <c r="A230" s="682">
        <v>97</v>
      </c>
      <c r="B230" s="684" t="s">
        <v>463</v>
      </c>
      <c r="C230" s="675"/>
      <c r="D230" s="676"/>
    </row>
    <row r="231" spans="1:4">
      <c r="A231" s="682">
        <v>98</v>
      </c>
      <c r="B231" s="684" t="s">
        <v>464</v>
      </c>
      <c r="C231" s="675"/>
      <c r="D231" s="676"/>
    </row>
    <row r="232" spans="1:4">
      <c r="A232" s="682">
        <v>99</v>
      </c>
      <c r="B232" s="684" t="s">
        <v>465</v>
      </c>
      <c r="C232" s="675"/>
      <c r="D232" s="676"/>
    </row>
    <row r="233" spans="1:4" ht="13.5" thickBot="1">
      <c r="A233" s="685">
        <v>100</v>
      </c>
      <c r="B233" s="686" t="s">
        <v>466</v>
      </c>
      <c r="C233" s="687"/>
      <c r="D233" s="688"/>
    </row>
  </sheetData>
  <sheetProtection selectLockedCells="1"/>
  <customSheetViews>
    <customSheetView guid="{858F61A7-D995-4540-8BB4-0D5C12D88289}" hiddenColumns="1" state="hidden" topLeftCell="P1">
      <selection activeCell="DT28" sqref="DT28"/>
      <pageMargins left="0.75" right="0.75" top="1" bottom="1" header="0.5" footer="0.5"/>
      <pageSetup orientation="portrait" r:id="rId1"/>
      <headerFooter alignWithMargins="0"/>
    </customSheetView>
    <customSheetView guid="{CCA37BAE-906F-43D5-9FD9-B13563E4B9D7}" hiddenColumns="1" state="hidden" topLeftCell="P1">
      <selection activeCell="DT28" sqref="DT28"/>
      <pageMargins left="0.75" right="0.75" top="1" bottom="1" header="0.5" footer="0.5"/>
      <pageSetup orientation="portrait" r:id="rId2"/>
      <headerFooter alignWithMargins="0"/>
    </customSheetView>
    <customSheetView guid="{CA9345C4-09FE-4F27-BFD9-3D9BCD2DED09}" hiddenColumns="1" state="hidden" topLeftCell="P1">
      <selection activeCell="DT28" sqref="DT28"/>
      <pageMargins left="0.75" right="0.75" top="1" bottom="1" header="0.5" footer="0.5"/>
      <pageSetup orientation="portrait" r:id="rId3"/>
      <headerFooter alignWithMargins="0"/>
    </customSheetView>
    <customSheetView guid="{7AB1F867-F01E-4EB9-A93D-DDCFDB9AA444}"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497EA202-A8B8-45C5-9E6C-C3CD104F3979}" hiddenColumns="1" state="hidden" topLeftCell="P1">
      <selection activeCell="DT28" sqref="DT28"/>
      <pageMargins left="0.75" right="0.75" top="1" bottom="1" header="0.5" footer="0.5"/>
      <pageSetup orientation="portrait" r:id="rId6"/>
      <headerFooter alignWithMargins="0"/>
    </customSheetView>
    <customSheetView guid="{63D51328-7CBC-4A1E-B96D-BAE91416501B}" hiddenColumns="1" state="hidden" topLeftCell="P1">
      <selection activeCell="DT28" sqref="DT28"/>
      <pageMargins left="0.75" right="0.75" top="1" bottom="1" header="0.5" footer="0.5"/>
      <pageSetup orientation="portrait" r:id="rId7"/>
      <headerFooter alignWithMargins="0"/>
    </customSheetView>
    <customSheetView guid="{D5521983-A70D-48A3-9506-C0263CBBC57D}" hiddenColumns="1" state="hidden" topLeftCell="P1">
      <selection activeCell="DT28" sqref="DT28"/>
      <pageMargins left="0.75" right="0.75" top="1" bottom="1" header="0.5" footer="0.5"/>
      <pageSetup orientation="portrait" r:id="rId8"/>
      <headerFooter alignWithMargins="0"/>
    </customSheetView>
    <customSheetView guid="{12A89170-4F84-482D-A3C5-7890082E7B73}" hiddenColumns="1" state="hidden" topLeftCell="P1">
      <selection activeCell="DT28" sqref="DT28"/>
      <pageMargins left="0.75" right="0.75" top="1" bottom="1" header="0.5" footer="0.5"/>
      <pageSetup orientation="portrait" r:id="rId9"/>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813" t="s">
        <v>350</v>
      </c>
      <c r="B1" s="813"/>
      <c r="C1" s="813"/>
      <c r="D1" s="59"/>
      <c r="E1" s="60"/>
      <c r="F1" s="60"/>
      <c r="G1" s="60"/>
      <c r="H1" s="60"/>
      <c r="I1" s="60"/>
      <c r="J1" s="60"/>
      <c r="K1" s="60"/>
    </row>
    <row r="2" spans="1:11" ht="18" customHeight="1">
      <c r="C2" s="64"/>
      <c r="D2" s="33"/>
      <c r="E2" s="65"/>
      <c r="F2" s="65"/>
      <c r="G2" s="65"/>
      <c r="H2" s="65"/>
      <c r="I2" s="65"/>
      <c r="J2" s="65"/>
      <c r="K2" s="65"/>
    </row>
    <row r="3" spans="1:11" ht="18" customHeight="1">
      <c r="A3" s="66" t="s">
        <v>53</v>
      </c>
      <c r="B3" s="64" t="s">
        <v>54</v>
      </c>
      <c r="C3" s="64"/>
      <c r="D3" s="67"/>
      <c r="E3" s="68"/>
      <c r="F3" s="68"/>
      <c r="G3" s="68"/>
      <c r="H3" s="68"/>
      <c r="I3" s="68"/>
      <c r="J3" s="68"/>
      <c r="K3" s="68"/>
    </row>
    <row r="4" spans="1:11" ht="18" customHeight="1">
      <c r="B4" s="69" t="s">
        <v>55</v>
      </c>
      <c r="C4" s="70" t="s">
        <v>56</v>
      </c>
      <c r="D4" s="67"/>
      <c r="E4" s="68"/>
      <c r="F4" s="68"/>
      <c r="G4" s="68"/>
      <c r="H4" s="68"/>
      <c r="I4" s="68"/>
      <c r="J4" s="68"/>
      <c r="K4" s="68"/>
    </row>
    <row r="5" spans="1:11" ht="38.1" customHeight="1">
      <c r="B5" s="69" t="s">
        <v>57</v>
      </c>
      <c r="C5" s="70" t="s">
        <v>58</v>
      </c>
      <c r="D5" s="67"/>
      <c r="E5" s="68"/>
      <c r="F5" s="68"/>
      <c r="G5" s="68"/>
      <c r="H5" s="68"/>
      <c r="I5" s="68"/>
      <c r="J5" s="68"/>
      <c r="K5" s="68"/>
    </row>
    <row r="6" spans="1:11" ht="18" customHeight="1">
      <c r="B6" s="69" t="s">
        <v>59</v>
      </c>
      <c r="C6" s="70" t="s">
        <v>60</v>
      </c>
      <c r="D6" s="67"/>
      <c r="E6" s="68"/>
      <c r="F6" s="68"/>
      <c r="G6" s="68"/>
      <c r="H6" s="68"/>
      <c r="I6" s="68"/>
      <c r="J6" s="68"/>
      <c r="K6" s="68"/>
    </row>
    <row r="7" spans="1:11" ht="18" customHeight="1">
      <c r="B7" s="69" t="s">
        <v>61</v>
      </c>
      <c r="C7" s="70" t="s">
        <v>62</v>
      </c>
      <c r="D7" s="67"/>
      <c r="E7" s="68"/>
      <c r="F7" s="68"/>
      <c r="G7" s="68"/>
      <c r="H7" s="68"/>
      <c r="I7" s="68"/>
      <c r="J7" s="68"/>
      <c r="K7" s="68"/>
    </row>
    <row r="8" spans="1:11" ht="18" customHeight="1">
      <c r="B8" s="69" t="s">
        <v>63</v>
      </c>
      <c r="C8" s="70" t="s">
        <v>64</v>
      </c>
      <c r="D8" s="67"/>
      <c r="E8" s="68"/>
      <c r="F8" s="68"/>
      <c r="G8" s="68"/>
      <c r="H8" s="68"/>
      <c r="I8" s="68"/>
      <c r="J8" s="68"/>
      <c r="K8" s="68"/>
    </row>
    <row r="9" spans="1:11" ht="18" customHeight="1">
      <c r="B9" s="69" t="s">
        <v>65</v>
      </c>
      <c r="C9" s="70" t="s">
        <v>66</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67</v>
      </c>
      <c r="B11" s="64" t="s">
        <v>68</v>
      </c>
      <c r="C11" s="64"/>
      <c r="D11" s="67"/>
      <c r="E11" s="68"/>
      <c r="F11" s="68"/>
      <c r="G11" s="68"/>
      <c r="H11" s="68"/>
      <c r="I11" s="68"/>
      <c r="J11" s="68"/>
      <c r="K11" s="68"/>
    </row>
    <row r="12" spans="1:11" ht="18" customHeight="1">
      <c r="B12" s="811" t="s">
        <v>69</v>
      </c>
      <c r="C12" s="811"/>
      <c r="D12" s="71"/>
      <c r="E12" s="68"/>
      <c r="F12" s="68"/>
      <c r="G12" s="68"/>
      <c r="H12" s="68"/>
      <c r="I12" s="68"/>
      <c r="J12" s="68"/>
      <c r="K12" s="68"/>
    </row>
    <row r="13" spans="1:11" ht="18" customHeight="1">
      <c r="B13" s="72"/>
      <c r="C13" s="70" t="s">
        <v>70</v>
      </c>
      <c r="D13" s="67"/>
      <c r="E13" s="68"/>
      <c r="F13" s="68"/>
      <c r="G13" s="68"/>
      <c r="H13" s="68"/>
      <c r="I13" s="68"/>
      <c r="J13" s="68"/>
      <c r="K13" s="68"/>
    </row>
    <row r="14" spans="1:11" ht="18" customHeight="1">
      <c r="B14" s="811" t="s">
        <v>71</v>
      </c>
      <c r="C14" s="811"/>
      <c r="D14" s="71"/>
      <c r="E14" s="68"/>
      <c r="F14" s="68"/>
      <c r="G14" s="68"/>
      <c r="H14" s="68"/>
      <c r="I14" s="68"/>
      <c r="J14" s="68"/>
      <c r="K14" s="68"/>
    </row>
    <row r="15" spans="1:11" ht="38.1" customHeight="1">
      <c r="B15" s="73" t="s">
        <v>72</v>
      </c>
      <c r="C15" s="70" t="s">
        <v>73</v>
      </c>
      <c r="D15" s="67"/>
      <c r="E15" s="68"/>
      <c r="F15" s="68"/>
      <c r="G15" s="68"/>
      <c r="H15" s="68"/>
      <c r="I15" s="68"/>
      <c r="J15" s="68"/>
      <c r="K15" s="68"/>
    </row>
    <row r="16" spans="1:11" ht="36" customHeight="1">
      <c r="B16" s="73" t="s">
        <v>72</v>
      </c>
      <c r="C16" s="70" t="s">
        <v>74</v>
      </c>
      <c r="D16" s="67"/>
      <c r="E16" s="68"/>
      <c r="F16" s="68"/>
      <c r="G16" s="68"/>
      <c r="H16" s="68"/>
      <c r="I16" s="68"/>
      <c r="J16" s="68"/>
      <c r="K16" s="68"/>
    </row>
    <row r="17" spans="2:11" ht="42" customHeight="1">
      <c r="B17" s="73" t="s">
        <v>72</v>
      </c>
      <c r="C17" s="70" t="s">
        <v>75</v>
      </c>
      <c r="D17" s="67"/>
      <c r="E17" s="68"/>
      <c r="F17" s="68"/>
      <c r="G17" s="68"/>
      <c r="H17" s="68"/>
      <c r="I17" s="68"/>
      <c r="J17" s="68"/>
      <c r="K17" s="68"/>
    </row>
    <row r="18" spans="2:11" ht="18" customHeight="1">
      <c r="B18" s="73" t="s">
        <v>72</v>
      </c>
      <c r="C18" s="70" t="s">
        <v>76</v>
      </c>
      <c r="D18" s="67"/>
      <c r="E18" s="68"/>
      <c r="F18" s="68"/>
      <c r="G18" s="68"/>
      <c r="H18" s="68"/>
      <c r="I18" s="68"/>
      <c r="J18" s="68"/>
      <c r="K18" s="68"/>
    </row>
    <row r="19" spans="2:11" ht="18" customHeight="1">
      <c r="B19" s="73" t="s">
        <v>72</v>
      </c>
      <c r="C19" s="74" t="s">
        <v>77</v>
      </c>
      <c r="D19" s="67"/>
      <c r="E19" s="68"/>
      <c r="F19" s="68"/>
      <c r="G19" s="68"/>
      <c r="H19" s="68"/>
      <c r="I19" s="68"/>
      <c r="J19" s="68"/>
      <c r="K19" s="68"/>
    </row>
    <row r="20" spans="2:11" ht="18" customHeight="1">
      <c r="B20" s="73" t="s">
        <v>72</v>
      </c>
      <c r="C20" s="70" t="s">
        <v>78</v>
      </c>
      <c r="D20" s="67"/>
      <c r="E20" s="68"/>
      <c r="F20" s="68"/>
      <c r="G20" s="68"/>
      <c r="H20" s="68"/>
      <c r="I20" s="68"/>
      <c r="J20" s="68"/>
      <c r="K20" s="68"/>
    </row>
    <row r="21" spans="2:11" ht="18" customHeight="1">
      <c r="B21" s="811" t="s">
        <v>79</v>
      </c>
      <c r="C21" s="811"/>
      <c r="D21" s="71"/>
      <c r="E21" s="68"/>
      <c r="F21" s="68"/>
      <c r="G21" s="68"/>
      <c r="H21" s="68"/>
      <c r="I21" s="68"/>
      <c r="J21" s="68"/>
      <c r="K21" s="68"/>
    </row>
    <row r="22" spans="2:11" ht="54" customHeight="1">
      <c r="B22" s="73" t="s">
        <v>72</v>
      </c>
      <c r="C22" s="70" t="s">
        <v>80</v>
      </c>
      <c r="D22" s="67"/>
      <c r="E22" s="68"/>
      <c r="F22" s="68"/>
      <c r="G22" s="68"/>
      <c r="H22" s="68"/>
      <c r="I22" s="68"/>
      <c r="J22" s="68"/>
      <c r="K22" s="68"/>
    </row>
    <row r="23" spans="2:11" ht="54" customHeight="1">
      <c r="B23" s="73" t="s">
        <v>72</v>
      </c>
      <c r="C23" s="70" t="s">
        <v>81</v>
      </c>
      <c r="D23" s="67"/>
      <c r="E23" s="68"/>
      <c r="F23" s="68"/>
      <c r="G23" s="68"/>
      <c r="H23" s="68"/>
      <c r="I23" s="68"/>
      <c r="J23" s="68"/>
      <c r="K23" s="68"/>
    </row>
    <row r="24" spans="2:11" ht="57.6" customHeight="1">
      <c r="B24" s="73" t="s">
        <v>72</v>
      </c>
      <c r="C24" s="70" t="s">
        <v>82</v>
      </c>
      <c r="D24" s="67"/>
      <c r="E24" s="68"/>
      <c r="F24" s="68"/>
      <c r="G24" s="68"/>
      <c r="H24" s="68"/>
      <c r="I24" s="68"/>
      <c r="J24" s="68"/>
      <c r="K24" s="68"/>
    </row>
    <row r="25" spans="2:11" ht="18" customHeight="1">
      <c r="B25" s="73" t="s">
        <v>72</v>
      </c>
      <c r="C25" s="70" t="s">
        <v>83</v>
      </c>
      <c r="D25" s="67"/>
      <c r="E25" s="68"/>
      <c r="F25" s="68"/>
      <c r="G25" s="68"/>
      <c r="H25" s="68"/>
      <c r="I25" s="68"/>
      <c r="J25" s="68"/>
      <c r="K25" s="68"/>
    </row>
    <row r="26" spans="2:11" ht="38.1" customHeight="1">
      <c r="B26" s="73" t="s">
        <v>72</v>
      </c>
      <c r="C26" s="70" t="s">
        <v>84</v>
      </c>
      <c r="D26" s="67"/>
      <c r="E26" s="68"/>
      <c r="F26" s="68"/>
      <c r="G26" s="68"/>
      <c r="H26" s="68"/>
      <c r="I26" s="68"/>
      <c r="J26" s="68"/>
      <c r="K26" s="68"/>
    </row>
    <row r="27" spans="2:11" ht="18" customHeight="1">
      <c r="B27" s="811" t="s">
        <v>85</v>
      </c>
      <c r="C27" s="811"/>
      <c r="D27" s="71"/>
      <c r="E27" s="68"/>
      <c r="F27" s="68"/>
      <c r="G27" s="68"/>
      <c r="H27" s="68"/>
      <c r="I27" s="68"/>
      <c r="J27" s="68"/>
      <c r="K27" s="68"/>
    </row>
    <row r="28" spans="2:11" ht="54" customHeight="1">
      <c r="B28" s="73" t="s">
        <v>72</v>
      </c>
      <c r="C28" s="70" t="s">
        <v>80</v>
      </c>
      <c r="D28" s="67"/>
      <c r="E28" s="68"/>
      <c r="F28" s="68"/>
      <c r="G28" s="68"/>
      <c r="H28" s="68"/>
      <c r="I28" s="68"/>
      <c r="J28" s="68"/>
      <c r="K28" s="68"/>
    </row>
    <row r="29" spans="2:11" ht="18" customHeight="1">
      <c r="B29" s="73" t="s">
        <v>72</v>
      </c>
      <c r="C29" s="70" t="s">
        <v>83</v>
      </c>
      <c r="D29" s="67"/>
      <c r="E29" s="68"/>
      <c r="F29" s="68"/>
      <c r="G29" s="68"/>
      <c r="H29" s="68"/>
      <c r="I29" s="68"/>
      <c r="J29" s="68"/>
      <c r="K29" s="68"/>
    </row>
    <row r="30" spans="2:11" ht="18" customHeight="1">
      <c r="B30" s="811" t="s">
        <v>86</v>
      </c>
      <c r="C30" s="811"/>
      <c r="D30" s="71"/>
    </row>
    <row r="31" spans="2:11" ht="54" customHeight="1">
      <c r="B31" s="73" t="s">
        <v>72</v>
      </c>
      <c r="C31" s="70" t="s">
        <v>80</v>
      </c>
      <c r="D31" s="67"/>
      <c r="E31" s="68"/>
      <c r="F31" s="68"/>
      <c r="G31" s="68"/>
      <c r="H31" s="68"/>
      <c r="I31" s="68"/>
      <c r="J31" s="68"/>
      <c r="K31" s="68"/>
    </row>
    <row r="32" spans="2:11" ht="18" customHeight="1">
      <c r="B32" s="73" t="s">
        <v>72</v>
      </c>
      <c r="C32" s="70" t="s">
        <v>83</v>
      </c>
      <c r="D32" s="67"/>
    </row>
    <row r="33" spans="2:11" ht="18" customHeight="1">
      <c r="B33" s="811" t="s">
        <v>87</v>
      </c>
      <c r="C33" s="811"/>
      <c r="D33" s="71"/>
    </row>
    <row r="34" spans="2:11" ht="18" customHeight="1">
      <c r="B34" s="73" t="s">
        <v>72</v>
      </c>
      <c r="C34" s="70" t="s">
        <v>88</v>
      </c>
      <c r="D34" s="67"/>
    </row>
    <row r="35" spans="2:11" ht="18" customHeight="1">
      <c r="B35" s="811" t="s">
        <v>89</v>
      </c>
      <c r="C35" s="811"/>
      <c r="D35" s="71"/>
    </row>
    <row r="36" spans="2:11" ht="66.599999999999994" customHeight="1">
      <c r="B36" s="73" t="s">
        <v>72</v>
      </c>
      <c r="C36" s="70" t="s">
        <v>90</v>
      </c>
      <c r="D36" s="67"/>
      <c r="E36" s="68"/>
      <c r="F36" s="68"/>
      <c r="G36" s="68"/>
      <c r="H36" s="68"/>
      <c r="I36" s="68"/>
      <c r="J36" s="68"/>
      <c r="K36" s="68"/>
    </row>
    <row r="37" spans="2:11" ht="146.1" customHeight="1">
      <c r="B37" s="73" t="s">
        <v>72</v>
      </c>
      <c r="C37" s="70" t="s">
        <v>91</v>
      </c>
      <c r="D37" s="67"/>
      <c r="E37" s="68"/>
      <c r="F37" s="68"/>
      <c r="G37" s="68"/>
      <c r="H37" s="68"/>
      <c r="I37" s="68"/>
      <c r="J37" s="68"/>
      <c r="K37" s="68"/>
    </row>
    <row r="38" spans="2:11" ht="164.1" customHeight="1">
      <c r="B38" s="73" t="s">
        <v>72</v>
      </c>
      <c r="C38" s="70" t="s">
        <v>92</v>
      </c>
      <c r="D38" s="67"/>
      <c r="E38" s="68"/>
      <c r="F38" s="68"/>
      <c r="G38" s="68"/>
      <c r="H38" s="68"/>
      <c r="I38" s="68"/>
      <c r="J38" s="68"/>
      <c r="K38" s="68"/>
    </row>
    <row r="39" spans="2:11" ht="75.95" customHeight="1">
      <c r="B39" s="73" t="s">
        <v>72</v>
      </c>
      <c r="C39" s="70" t="s">
        <v>93</v>
      </c>
      <c r="D39" s="67"/>
      <c r="E39" s="68"/>
      <c r="F39" s="68"/>
      <c r="G39" s="68"/>
      <c r="H39" s="68"/>
      <c r="I39" s="68"/>
      <c r="J39" s="68"/>
      <c r="K39" s="68"/>
    </row>
    <row r="40" spans="2:11" ht="38.1" customHeight="1">
      <c r="B40" s="73" t="s">
        <v>72</v>
      </c>
      <c r="C40" s="70" t="s">
        <v>94</v>
      </c>
    </row>
    <row r="41" spans="2:11" ht="18" customHeight="1">
      <c r="B41" s="811" t="s">
        <v>95</v>
      </c>
      <c r="C41" s="811"/>
    </row>
    <row r="42" spans="2:11" ht="38.1" customHeight="1">
      <c r="B42" s="73" t="s">
        <v>72</v>
      </c>
      <c r="C42" s="70" t="s">
        <v>96</v>
      </c>
    </row>
    <row r="43" spans="2:11" ht="18" customHeight="1">
      <c r="B43" s="73" t="s">
        <v>72</v>
      </c>
      <c r="C43" s="76" t="s">
        <v>97</v>
      </c>
    </row>
    <row r="44" spans="2:11" ht="18" customHeight="1">
      <c r="B44" s="811" t="s">
        <v>98</v>
      </c>
      <c r="C44" s="811"/>
    </row>
    <row r="45" spans="2:11" ht="38.1" customHeight="1">
      <c r="B45" s="73" t="s">
        <v>72</v>
      </c>
      <c r="C45" s="70" t="s">
        <v>99</v>
      </c>
    </row>
    <row r="46" spans="2:11" ht="18" customHeight="1">
      <c r="B46" s="73" t="s">
        <v>72</v>
      </c>
      <c r="C46" s="76" t="s">
        <v>97</v>
      </c>
    </row>
    <row r="47" spans="2:11" ht="18" customHeight="1">
      <c r="B47" s="811" t="s">
        <v>100</v>
      </c>
      <c r="C47" s="811" t="s">
        <v>101</v>
      </c>
    </row>
    <row r="48" spans="2:11" ht="48" customHeight="1">
      <c r="B48" s="73" t="s">
        <v>72</v>
      </c>
      <c r="C48" s="70" t="s">
        <v>102</v>
      </c>
    </row>
    <row r="49" spans="1:11" ht="18" customHeight="1">
      <c r="B49" s="73" t="s">
        <v>72</v>
      </c>
      <c r="C49" s="76" t="s">
        <v>97</v>
      </c>
    </row>
    <row r="50" spans="1:11" ht="18" customHeight="1">
      <c r="B50" s="811" t="s">
        <v>103</v>
      </c>
      <c r="C50" s="811"/>
    </row>
    <row r="51" spans="1:11" ht="38.1" customHeight="1">
      <c r="B51" s="73" t="s">
        <v>72</v>
      </c>
      <c r="C51" s="70" t="s">
        <v>104</v>
      </c>
    </row>
    <row r="52" spans="1:11" ht="38.1" customHeight="1">
      <c r="B52" s="73" t="s">
        <v>72</v>
      </c>
      <c r="C52" s="70" t="s">
        <v>105</v>
      </c>
    </row>
    <row r="53" spans="1:11" ht="18" customHeight="1">
      <c r="B53" s="811" t="s">
        <v>106</v>
      </c>
      <c r="C53" s="811"/>
    </row>
    <row r="54" spans="1:11" ht="18" customHeight="1">
      <c r="B54" s="73" t="s">
        <v>72</v>
      </c>
      <c r="C54" s="77" t="s">
        <v>107</v>
      </c>
    </row>
    <row r="55" spans="1:11" ht="18" customHeight="1">
      <c r="B55" s="73" t="s">
        <v>72</v>
      </c>
      <c r="C55" s="77" t="s">
        <v>108</v>
      </c>
    </row>
    <row r="56" spans="1:11" ht="18" customHeight="1">
      <c r="B56" s="811" t="s">
        <v>109</v>
      </c>
      <c r="C56" s="811"/>
    </row>
    <row r="57" spans="1:11" ht="18" customHeight="1">
      <c r="B57" s="73" t="s">
        <v>72</v>
      </c>
      <c r="C57" s="70" t="s">
        <v>110</v>
      </c>
      <c r="D57" s="67"/>
      <c r="E57" s="68"/>
      <c r="F57" s="68"/>
      <c r="G57" s="68"/>
      <c r="H57" s="68"/>
      <c r="I57" s="68"/>
      <c r="J57" s="68"/>
      <c r="K57" s="68"/>
    </row>
    <row r="58" spans="1:11" ht="18" customHeight="1">
      <c r="B58" s="73" t="s">
        <v>72</v>
      </c>
      <c r="C58" s="70" t="s">
        <v>111</v>
      </c>
      <c r="D58" s="67"/>
      <c r="E58" s="68"/>
      <c r="F58" s="68"/>
      <c r="G58" s="68"/>
      <c r="H58" s="68"/>
      <c r="I58" s="68"/>
      <c r="J58" s="68"/>
      <c r="K58" s="68"/>
    </row>
    <row r="59" spans="1:11" ht="36" customHeight="1">
      <c r="B59" s="73" t="s">
        <v>72</v>
      </c>
      <c r="C59" s="70" t="s">
        <v>112</v>
      </c>
      <c r="D59" s="67"/>
      <c r="E59" s="68"/>
      <c r="F59" s="68"/>
      <c r="G59" s="68"/>
      <c r="H59" s="68"/>
      <c r="I59" s="68"/>
      <c r="J59" s="68"/>
      <c r="K59" s="68"/>
    </row>
    <row r="60" spans="1:11" ht="18" customHeight="1">
      <c r="B60" s="73" t="s">
        <v>72</v>
      </c>
      <c r="C60" s="70" t="s">
        <v>113</v>
      </c>
      <c r="D60" s="67"/>
      <c r="E60" s="68"/>
      <c r="F60" s="68"/>
      <c r="G60" s="68"/>
      <c r="H60" s="68"/>
      <c r="I60" s="68"/>
      <c r="J60" s="68"/>
      <c r="K60" s="68"/>
    </row>
    <row r="61" spans="1:11" ht="18" customHeight="1">
      <c r="A61" s="63"/>
      <c r="C61" s="78"/>
    </row>
    <row r="62" spans="1:11" ht="18" customHeight="1">
      <c r="A62" s="812"/>
      <c r="B62" s="812"/>
      <c r="C62" s="812"/>
      <c r="D62" s="79"/>
    </row>
    <row r="63" spans="1:11" ht="18" customHeight="1">
      <c r="A63" s="809" t="s">
        <v>114</v>
      </c>
      <c r="B63" s="809"/>
      <c r="C63" s="809"/>
      <c r="D63" s="79"/>
    </row>
    <row r="64" spans="1:11" ht="36" customHeight="1">
      <c r="A64" s="810" t="s">
        <v>115</v>
      </c>
      <c r="B64" s="810"/>
      <c r="C64" s="810"/>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858F61A7-D995-4540-8BB4-0D5C12D88289}"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CA9345C4-09FE-4F27-BFD9-3D9BCD2DED09}"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7AB1F867-F01E-4EB9-A93D-DDCFDB9AA444}"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497EA202-A8B8-45C5-9E6C-C3CD104F3979}"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D5521983-A70D-48A3-9506-C0263CBBC57D}"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12A89170-4F84-482D-A3C5-7890082E7B73}"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3"/>
  <headerFooter alignWithMargins="0">
    <oddFooter>&amp;RPage &amp;P of &amp;N</oddFooter>
  </headerFooter>
  <rowBreaks count="1" manualBreakCount="1">
    <brk id="29" max="2" man="1"/>
  </rowBreak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F27" sqref="F27"/>
    </sheetView>
  </sheetViews>
  <sheetFormatPr defaultColWidth="9.140625" defaultRowHeight="15.75"/>
  <cols>
    <col min="1" max="1" width="3.7109375" style="565" customWidth="1"/>
    <col min="2" max="2" width="33" style="562" customWidth="1"/>
    <col min="3" max="3" width="11.7109375" style="562" customWidth="1"/>
    <col min="4" max="5" width="6.42578125" style="562" customWidth="1"/>
    <col min="6" max="6" width="6.42578125" style="565" customWidth="1"/>
    <col min="7" max="7" width="39" style="565" customWidth="1"/>
    <col min="8" max="8" width="11.85546875" style="565" hidden="1" customWidth="1"/>
    <col min="9" max="10" width="11.85546875" style="565" customWidth="1"/>
    <col min="11" max="11" width="11.85546875" style="565" hidden="1" customWidth="1"/>
    <col min="12" max="25" width="11.85546875" style="565" customWidth="1"/>
    <col min="26" max="26" width="9.140625" style="565" customWidth="1"/>
    <col min="27" max="27" width="15.28515625" style="565" customWidth="1"/>
    <col min="28" max="16384" width="9.140625" style="565"/>
  </cols>
  <sheetData>
    <row r="1" spans="1:29" s="562" customFormat="1" ht="111" customHeight="1">
      <c r="B1" s="817" t="str">
        <f>Cover!$B$2</f>
        <v xml:space="preserve">Substation Package SS01 for extension of 400kV Gorakhpur Substation through GIS bays for termination of 400 KV D/C New Butwal - Gorakhpur Transmission Line under Cross Border Interconnection
</v>
      </c>
      <c r="C1" s="817"/>
      <c r="D1" s="817"/>
      <c r="E1" s="817"/>
      <c r="F1" s="817"/>
      <c r="G1" s="817"/>
      <c r="H1" s="563"/>
      <c r="I1" s="563"/>
      <c r="J1" s="563"/>
      <c r="K1" s="563"/>
      <c r="L1" s="563"/>
      <c r="M1" s="563"/>
      <c r="N1" s="563"/>
      <c r="O1" s="563"/>
      <c r="P1" s="563"/>
      <c r="Q1" s="563"/>
      <c r="R1" s="563"/>
      <c r="S1" s="563"/>
      <c r="T1" s="563"/>
      <c r="U1" s="563"/>
      <c r="V1" s="563"/>
      <c r="W1" s="563"/>
      <c r="X1" s="563"/>
      <c r="Y1" s="563"/>
      <c r="AA1" s="564"/>
      <c r="AB1" s="564"/>
      <c r="AC1" s="564"/>
    </row>
    <row r="2" spans="1:29" ht="16.5" customHeight="1">
      <c r="B2" s="818" t="str">
        <f>Cover!B3</f>
        <v>Specification No.: 5002002330/CONSULTANCY GIVEN/DOM/A06-CC CS -7</v>
      </c>
      <c r="C2" s="818"/>
      <c r="D2" s="818"/>
      <c r="E2" s="818"/>
      <c r="F2" s="818"/>
      <c r="G2" s="818"/>
      <c r="H2" s="562"/>
      <c r="I2" s="562"/>
      <c r="J2" s="562"/>
      <c r="K2" s="562"/>
      <c r="L2" s="562"/>
      <c r="M2" s="562"/>
      <c r="N2" s="562"/>
      <c r="O2" s="562"/>
      <c r="P2" s="562"/>
      <c r="Q2" s="562"/>
      <c r="R2" s="562"/>
      <c r="S2" s="562"/>
      <c r="T2" s="562"/>
      <c r="U2" s="562"/>
      <c r="V2" s="562"/>
      <c r="W2" s="562"/>
      <c r="X2" s="562"/>
      <c r="Y2" s="562"/>
      <c r="AA2" s="565" t="s">
        <v>116</v>
      </c>
      <c r="AB2" s="566">
        <v>1</v>
      </c>
      <c r="AC2" s="567"/>
    </row>
    <row r="3" spans="1:29" ht="12" customHeight="1">
      <c r="B3" s="568"/>
      <c r="C3" s="568"/>
      <c r="D3" s="568"/>
      <c r="E3" s="568"/>
      <c r="F3" s="562"/>
      <c r="G3" s="562"/>
      <c r="H3" s="562"/>
      <c r="I3" s="562"/>
      <c r="J3" s="562"/>
      <c r="K3" s="562"/>
      <c r="L3" s="562"/>
      <c r="M3" s="562"/>
      <c r="N3" s="562"/>
      <c r="O3" s="562"/>
      <c r="P3" s="562"/>
      <c r="Q3" s="562"/>
      <c r="R3" s="562"/>
      <c r="S3" s="562"/>
      <c r="T3" s="562"/>
      <c r="U3" s="562"/>
      <c r="V3" s="562"/>
      <c r="W3" s="562"/>
      <c r="X3" s="562"/>
      <c r="Y3" s="562"/>
      <c r="AA3" s="565" t="s">
        <v>117</v>
      </c>
      <c r="AB3" s="566" t="s">
        <v>118</v>
      </c>
      <c r="AC3" s="567"/>
    </row>
    <row r="4" spans="1:29" ht="20.100000000000001" customHeight="1">
      <c r="B4" s="819" t="s">
        <v>119</v>
      </c>
      <c r="C4" s="819"/>
      <c r="D4" s="819"/>
      <c r="E4" s="819"/>
      <c r="F4" s="819"/>
      <c r="G4" s="819"/>
      <c r="H4" s="562"/>
      <c r="I4" s="562"/>
      <c r="J4" s="562"/>
      <c r="K4" s="562"/>
      <c r="L4" s="562"/>
      <c r="M4" s="562"/>
      <c r="N4" s="562"/>
      <c r="O4" s="562"/>
      <c r="P4" s="562"/>
      <c r="Q4" s="562"/>
      <c r="R4" s="562"/>
      <c r="S4" s="562"/>
      <c r="T4" s="562"/>
      <c r="U4" s="562"/>
      <c r="V4" s="562"/>
      <c r="W4" s="562"/>
      <c r="X4" s="562"/>
      <c r="Y4" s="562"/>
      <c r="AB4" s="566"/>
      <c r="AC4" s="567"/>
    </row>
    <row r="5" spans="1:29" ht="12" customHeight="1">
      <c r="B5" s="569"/>
      <c r="C5" s="569"/>
      <c r="F5" s="562"/>
      <c r="G5" s="562"/>
      <c r="H5" s="562"/>
      <c r="I5" s="562"/>
      <c r="J5" s="562"/>
      <c r="K5" s="562"/>
      <c r="L5" s="562"/>
      <c r="M5" s="562"/>
      <c r="N5" s="562"/>
      <c r="O5" s="562"/>
      <c r="P5" s="562"/>
      <c r="Q5" s="562"/>
      <c r="R5" s="562"/>
      <c r="S5" s="562"/>
      <c r="T5" s="562"/>
      <c r="U5" s="562"/>
      <c r="V5" s="562"/>
      <c r="W5" s="562"/>
      <c r="X5" s="562"/>
      <c r="Y5" s="562"/>
      <c r="AA5" s="567"/>
      <c r="AB5" s="567"/>
      <c r="AC5" s="567"/>
    </row>
    <row r="6" spans="1:29" s="562" customFormat="1" ht="50.25" customHeight="1">
      <c r="B6" s="824" t="s">
        <v>353</v>
      </c>
      <c r="C6" s="824"/>
      <c r="D6" s="820" t="s">
        <v>116</v>
      </c>
      <c r="E6" s="820"/>
      <c r="F6" s="820"/>
      <c r="G6" s="820"/>
      <c r="H6" s="570"/>
      <c r="I6" s="570"/>
      <c r="J6" s="570"/>
      <c r="K6" s="592">
        <f>IF(D6="Sole Bidder", 1,2)</f>
        <v>1</v>
      </c>
      <c r="L6" s="570"/>
      <c r="M6" s="570"/>
      <c r="N6" s="570"/>
      <c r="O6" s="570"/>
      <c r="P6" s="570"/>
      <c r="Q6" s="570"/>
      <c r="R6" s="570"/>
      <c r="S6" s="570"/>
      <c r="U6" s="570"/>
      <c r="V6" s="570"/>
      <c r="W6" s="570"/>
      <c r="X6" s="570"/>
      <c r="Y6" s="570"/>
      <c r="AA6" s="571">
        <f>IF(D6= "Sole Bidder", 0, D7)</f>
        <v>0</v>
      </c>
      <c r="AB6" s="564"/>
      <c r="AC6" s="564"/>
    </row>
    <row r="7" spans="1:29" ht="50.1" customHeight="1">
      <c r="A7" s="572"/>
      <c r="B7" s="573" t="str">
        <f>IF(D6= "JV (Joint Venture)", "Total Nos. of  Partners in the JV [excluding the Lead Partner]", "")</f>
        <v/>
      </c>
      <c r="C7" s="574"/>
      <c r="D7" s="821" t="s">
        <v>118</v>
      </c>
      <c r="E7" s="822"/>
      <c r="F7" s="822"/>
      <c r="G7" s="823"/>
      <c r="AA7" s="567"/>
      <c r="AB7" s="567"/>
      <c r="AC7" s="567"/>
    </row>
    <row r="8" spans="1:29" ht="19.5" customHeight="1">
      <c r="B8" s="575"/>
      <c r="C8" s="575"/>
      <c r="D8" s="570"/>
    </row>
    <row r="9" spans="1:29" ht="20.100000000000001" customHeight="1">
      <c r="B9" s="576" t="str">
        <f>IF(D6= "Sole Bidder", "Name of Sole Bidder", "Name of Lead Partner")</f>
        <v>Name of Sole Bidder</v>
      </c>
      <c r="C9" s="577"/>
      <c r="D9" s="814"/>
      <c r="E9" s="815"/>
      <c r="F9" s="815"/>
      <c r="G9" s="816"/>
    </row>
    <row r="10" spans="1:29" ht="20.100000000000001" customHeight="1">
      <c r="B10" s="578" t="str">
        <f>IF(D6= "Sole Bidder", "Address of Sole Bidder", "Address of Lead Partner")</f>
        <v>Address of Sole Bidder</v>
      </c>
      <c r="C10" s="579"/>
      <c r="D10" s="814"/>
      <c r="E10" s="815"/>
      <c r="F10" s="815"/>
      <c r="G10" s="816"/>
    </row>
    <row r="11" spans="1:29" ht="20.100000000000001" customHeight="1">
      <c r="B11" s="580"/>
      <c r="C11" s="581"/>
      <c r="D11" s="814"/>
      <c r="E11" s="815"/>
      <c r="F11" s="815"/>
      <c r="G11" s="816"/>
    </row>
    <row r="12" spans="1:29" ht="20.100000000000001" customHeight="1">
      <c r="B12" s="582"/>
      <c r="C12" s="583"/>
      <c r="D12" s="814"/>
      <c r="E12" s="815"/>
      <c r="F12" s="815"/>
      <c r="G12" s="816"/>
    </row>
    <row r="13" spans="1:29" ht="20.100000000000001" customHeight="1"/>
    <row r="14" spans="1:29" ht="20.100000000000001" customHeight="1">
      <c r="B14" s="576" t="str">
        <f>IF(D6="JV (Joint Venture)", "Name of other Partner","Name of other Partner - 1")</f>
        <v>Name of other Partner - 1</v>
      </c>
      <c r="C14" s="577"/>
      <c r="D14" s="814"/>
      <c r="E14" s="815"/>
      <c r="F14" s="815"/>
      <c r="G14" s="816"/>
    </row>
    <row r="15" spans="1:29" ht="20.100000000000001" customHeight="1">
      <c r="B15" s="578" t="str">
        <f>IF(D6="JV (Joint Venture)", "Address of other Partner","Address of other Partner - 1")</f>
        <v>Address of other Partner - 1</v>
      </c>
      <c r="C15" s="579"/>
      <c r="D15" s="828"/>
      <c r="E15" s="829"/>
      <c r="F15" s="829"/>
      <c r="G15" s="830"/>
    </row>
    <row r="16" spans="1:29" ht="20.100000000000001" customHeight="1">
      <c r="B16" s="580"/>
      <c r="C16" s="581"/>
      <c r="D16" s="828"/>
      <c r="E16" s="829"/>
      <c r="F16" s="829"/>
      <c r="G16" s="830"/>
    </row>
    <row r="17" spans="2:8" ht="20.100000000000001" customHeight="1">
      <c r="B17" s="582"/>
      <c r="C17" s="583"/>
      <c r="D17" s="828"/>
      <c r="E17" s="829"/>
      <c r="F17" s="829"/>
      <c r="G17" s="830"/>
    </row>
    <row r="18" spans="2:8" ht="20.100000000000001" customHeight="1"/>
    <row r="19" spans="2:8" ht="20.100000000000001" hidden="1" customHeight="1">
      <c r="B19" s="576" t="s">
        <v>121</v>
      </c>
      <c r="C19" s="577"/>
      <c r="D19" s="814" t="s">
        <v>120</v>
      </c>
      <c r="E19" s="815"/>
      <c r="F19" s="815"/>
      <c r="G19" s="816"/>
    </row>
    <row r="20" spans="2:8" ht="20.100000000000001" hidden="1" customHeight="1">
      <c r="B20" s="578" t="s">
        <v>122</v>
      </c>
      <c r="C20" s="579"/>
      <c r="D20" s="814" t="s">
        <v>120</v>
      </c>
      <c r="E20" s="815"/>
      <c r="F20" s="815"/>
      <c r="G20" s="816"/>
    </row>
    <row r="21" spans="2:8" ht="20.100000000000001" hidden="1" customHeight="1">
      <c r="B21" s="580"/>
      <c r="C21" s="581"/>
      <c r="D21" s="814" t="s">
        <v>120</v>
      </c>
      <c r="E21" s="815"/>
      <c r="F21" s="815"/>
      <c r="G21" s="816"/>
    </row>
    <row r="22" spans="2:8" ht="20.100000000000001" hidden="1" customHeight="1">
      <c r="B22" s="582"/>
      <c r="C22" s="583"/>
      <c r="D22" s="814" t="s">
        <v>120</v>
      </c>
      <c r="E22" s="815"/>
      <c r="F22" s="815"/>
      <c r="G22" s="816"/>
    </row>
    <row r="23" spans="2:8" ht="20.100000000000001" customHeight="1">
      <c r="B23" s="584"/>
      <c r="C23" s="584"/>
    </row>
    <row r="24" spans="2:8" ht="21" customHeight="1">
      <c r="B24" s="585" t="s">
        <v>123</v>
      </c>
      <c r="C24" s="586"/>
      <c r="D24" s="825"/>
      <c r="E24" s="826"/>
      <c r="F24" s="826"/>
      <c r="G24" s="827"/>
    </row>
    <row r="25" spans="2:8" ht="21" customHeight="1">
      <c r="B25" s="585" t="s">
        <v>124</v>
      </c>
      <c r="C25" s="586"/>
      <c r="D25" s="814"/>
      <c r="E25" s="831"/>
      <c r="F25" s="831"/>
      <c r="G25" s="832"/>
    </row>
    <row r="26" spans="2:8" ht="21" customHeight="1">
      <c r="B26" s="587"/>
      <c r="C26" s="587"/>
      <c r="D26" s="588"/>
    </row>
    <row r="27" spans="2:8" s="562" customFormat="1" ht="21" customHeight="1">
      <c r="B27" s="585" t="s">
        <v>125</v>
      </c>
      <c r="C27" s="586"/>
      <c r="D27" s="589"/>
      <c r="E27" s="591"/>
      <c r="F27" s="589"/>
      <c r="G27" s="590" t="str">
        <f>IF(D27&gt;H27, "Invalid Date !", "")</f>
        <v/>
      </c>
      <c r="H27" s="564">
        <f>IF(E27="Feb",28,IF(OR(E27="Apr", E27="Jun", E27="Sep", E27="Nov"),30,31))</f>
        <v>31</v>
      </c>
    </row>
    <row r="28" spans="2:8" ht="21" customHeight="1">
      <c r="B28" s="585" t="s">
        <v>126</v>
      </c>
      <c r="C28" s="586"/>
      <c r="D28" s="814"/>
      <c r="E28" s="831"/>
      <c r="F28" s="831"/>
      <c r="G28" s="832"/>
    </row>
    <row r="29" spans="2:8">
      <c r="E29" s="565"/>
    </row>
  </sheetData>
  <sheetProtection password="CC6F" sheet="1" formatColumns="0" formatRows="0" selectLockedCells="1"/>
  <customSheetViews>
    <customSheetView guid="{858F61A7-D995-4540-8BB4-0D5C12D88289}" showGridLines="0" printArea="1" hiddenRows="1" hiddenColumns="1" view="pageBreakPreview">
      <selection activeCell="F27" sqref="F27"/>
      <pageMargins left="0.75" right="0.75" top="0.69" bottom="0.7" header="0.4" footer="0.37"/>
      <pageSetup scale="86" orientation="portrait" r:id="rId1"/>
      <headerFooter alignWithMargins="0"/>
    </customSheetView>
    <customSheetView guid="{CCA37BAE-906F-43D5-9FD9-B13563E4B9D7}" showGridLines="0" printArea="1" hiddenRows="1" hiddenColumns="1" view="pageBreakPreview" topLeftCell="A4">
      <selection activeCell="D9" sqref="D9:G9"/>
      <pageMargins left="0.75" right="0.75" top="0.69" bottom="0.7" header="0.4" footer="0.37"/>
      <pageSetup scale="86" orientation="portrait" r:id="rId2"/>
      <headerFooter alignWithMargins="0"/>
    </customSheetView>
    <customSheetView guid="{CA9345C4-09FE-4F27-BFD9-3D9BCD2DED09}" showGridLines="0" printArea="1" hiddenRows="1" hiddenColumns="1" view="pageBreakPreview">
      <selection activeCell="D9" sqref="D9:G9"/>
      <pageMargins left="0.75" right="0.75" top="0.69" bottom="0.7" header="0.4" footer="0.37"/>
      <pageSetup scale="86" orientation="portrait" r:id="rId3"/>
      <headerFooter alignWithMargins="0"/>
    </customSheetView>
    <customSheetView guid="{7AB1F867-F01E-4EB9-A93D-DDCFDB9AA444}"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5"/>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8"/>
      <headerFooter alignWithMargins="0"/>
    </customSheetView>
    <customSheetView guid="{497EA202-A8B8-45C5-9E6C-C3CD104F3979}"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D5521983-A70D-48A3-9506-C0263CBBC57D}"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12A89170-4F84-482D-A3C5-7890082E7B73}" showGridLines="0" printArea="1" hiddenRows="1" hiddenColumns="1" view="pageBreakPreview">
      <selection activeCell="D9" sqref="D9:G9"/>
      <pageMargins left="0.75" right="0.75" top="0.69" bottom="0.7" header="0.4" footer="0.37"/>
      <pageSetup scale="86" orientation="portrait" r:id="rId12"/>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22" priority="3" stopIfTrue="1">
      <formula>$AA$6&lt;2</formula>
    </cfRule>
  </conditionalFormatting>
  <conditionalFormatting sqref="B14:C17">
    <cfRule type="expression" dxfId="21" priority="4" stopIfTrue="1">
      <formula>$AA$6&lt;1</formula>
    </cfRule>
  </conditionalFormatting>
  <conditionalFormatting sqref="B7:G7">
    <cfRule type="expression" dxfId="20" priority="5" stopIfTrue="1">
      <formula>$D$6="Sole Bidder"</formula>
    </cfRule>
  </conditionalFormatting>
  <conditionalFormatting sqref="D14:G17">
    <cfRule type="expression" dxfId="19" priority="2" stopIfTrue="1">
      <formula>$AA$6&lt;1</formula>
    </cfRule>
  </conditionalFormatting>
  <conditionalFormatting sqref="D19:G22">
    <cfRule type="expression" dxfId="18" priority="1" stopIfTrue="1">
      <formula>$AA$6&lt;2</formula>
    </cfRule>
  </conditionalFormatting>
  <dataValidations count="5">
    <dataValidation type="list" allowBlank="1" showInputMessage="1" showErrorMessage="1" sqref="F27" xr:uid="{00000000-0002-0000-0300-000000000000}">
      <formula1>"2021,2022"</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3"/>
  <headerFooter alignWithMargins="0"/>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165"/>
  <sheetViews>
    <sheetView view="pageBreakPreview" topLeftCell="A7" zoomScale="70" zoomScaleNormal="92" zoomScaleSheetLayoutView="70" workbookViewId="0">
      <selection activeCell="G18" sqref="G18"/>
    </sheetView>
  </sheetViews>
  <sheetFormatPr defaultColWidth="9.140625" defaultRowHeight="15.75"/>
  <cols>
    <col min="1" max="1" width="4.7109375" style="477" customWidth="1"/>
    <col min="2" max="2" width="18.7109375" style="477" customWidth="1"/>
    <col min="3" max="3" width="8.5703125" style="477" customWidth="1"/>
    <col min="4" max="4" width="24.85546875" style="728" customWidth="1"/>
    <col min="5" max="5" width="14.42578125" style="477" customWidth="1"/>
    <col min="6" max="6" width="13" style="477" customWidth="1"/>
    <col min="7" max="7" width="17.5703125" style="477" customWidth="1"/>
    <col min="8" max="8" width="12.42578125" style="542" customWidth="1"/>
    <col min="9" max="9" width="17.5703125" style="477" customWidth="1"/>
    <col min="10" max="10" width="83" style="728" customWidth="1"/>
    <col min="11" max="11" width="7.140625" style="477" customWidth="1"/>
    <col min="12" max="12" width="11.140625" style="477" customWidth="1"/>
    <col min="13" max="13" width="16.7109375" style="477" customWidth="1"/>
    <col min="14" max="14" width="21.28515625" style="477" customWidth="1"/>
    <col min="15" max="15" width="14" style="477" hidden="1" customWidth="1"/>
    <col min="16" max="16" width="14.85546875" style="477" hidden="1" customWidth="1"/>
    <col min="17" max="17" width="13" style="477" hidden="1" customWidth="1"/>
    <col min="18" max="18" width="20.140625" style="477" hidden="1" customWidth="1"/>
    <col min="19" max="19" width="16.140625" style="477" hidden="1" customWidth="1"/>
    <col min="20" max="20" width="15" style="477" hidden="1" customWidth="1"/>
    <col min="21" max="37" width="9.140625" style="477" hidden="1" customWidth="1"/>
    <col min="38" max="38" width="6.140625" style="477" hidden="1" customWidth="1"/>
    <col min="39" max="44" width="9.140625" style="477" customWidth="1"/>
    <col min="45" max="16384" width="9.140625" style="477"/>
  </cols>
  <sheetData>
    <row r="1" spans="1:256" ht="20.25">
      <c r="A1" s="741" t="str">
        <f>Basic!B5</f>
        <v>Specification No.: 5002002330/CONSULTANCY GIVEN/DOM/A06-CC CS -7</v>
      </c>
      <c r="B1" s="6"/>
      <c r="C1" s="6"/>
      <c r="D1" s="422"/>
      <c r="E1" s="6"/>
      <c r="F1" s="6"/>
      <c r="G1" s="6"/>
      <c r="H1" s="6"/>
      <c r="I1" s="6"/>
      <c r="J1" s="742"/>
      <c r="K1" s="6"/>
      <c r="L1" s="6"/>
      <c r="M1" s="6"/>
      <c r="N1" s="770" t="s">
        <v>541</v>
      </c>
    </row>
    <row r="2" spans="1:256">
      <c r="A2" s="4"/>
      <c r="B2" s="4"/>
      <c r="C2" s="4"/>
      <c r="D2" s="352"/>
      <c r="E2" s="4"/>
      <c r="F2" s="4"/>
      <c r="G2" s="4"/>
      <c r="H2" s="4"/>
      <c r="I2" s="4"/>
      <c r="J2" s="352"/>
      <c r="K2" s="4"/>
      <c r="L2" s="4"/>
      <c r="M2" s="4"/>
      <c r="N2" s="4"/>
    </row>
    <row r="3" spans="1:256" ht="42.75" customHeight="1">
      <c r="A3" s="833" t="str">
        <f>Cover!$B$2</f>
        <v xml:space="preserve">Substation Package SS01 for extension of 400kV Gorakhpur Substation through GIS bays for termination of 400 KV D/C New Butwal - Gorakhpur Transmission Line under Cross Border Interconnection
</v>
      </c>
      <c r="B3" s="833"/>
      <c r="C3" s="833"/>
      <c r="D3" s="833"/>
      <c r="E3" s="833"/>
      <c r="F3" s="833"/>
      <c r="G3" s="833"/>
      <c r="H3" s="833"/>
      <c r="I3" s="833"/>
      <c r="J3" s="833"/>
      <c r="K3" s="833"/>
      <c r="L3" s="833"/>
      <c r="M3" s="833"/>
      <c r="N3" s="833"/>
    </row>
    <row r="4" spans="1:256" ht="16.5">
      <c r="A4" s="834" t="s">
        <v>0</v>
      </c>
      <c r="B4" s="834"/>
      <c r="C4" s="834"/>
      <c r="D4" s="834"/>
      <c r="E4" s="834"/>
      <c r="F4" s="834"/>
      <c r="G4" s="834"/>
      <c r="H4" s="834"/>
      <c r="I4" s="834"/>
      <c r="J4" s="834"/>
      <c r="K4" s="834"/>
      <c r="L4" s="834"/>
      <c r="M4" s="834"/>
      <c r="N4" s="834"/>
    </row>
    <row r="5" spans="1:256" s="594" customFormat="1" ht="16.5">
      <c r="A5" s="593"/>
      <c r="B5" s="593"/>
      <c r="C5" s="593"/>
      <c r="D5" s="593"/>
      <c r="E5" s="593"/>
      <c r="F5" s="593"/>
      <c r="G5" s="593"/>
      <c r="H5" s="593"/>
      <c r="I5" s="593"/>
      <c r="J5" s="593"/>
      <c r="K5" s="593"/>
      <c r="L5" s="593"/>
      <c r="M5" s="593"/>
      <c r="N5" s="593"/>
    </row>
    <row r="6" spans="1:256" ht="16.5">
      <c r="A6" s="835" t="s">
        <v>352</v>
      </c>
      <c r="B6" s="835"/>
      <c r="C6" s="4"/>
      <c r="D6" s="352"/>
      <c r="E6" s="4"/>
      <c r="F6" s="4"/>
      <c r="G6" s="4"/>
      <c r="H6" s="4"/>
      <c r="I6" s="4"/>
      <c r="J6" s="352"/>
      <c r="K6" s="4"/>
      <c r="L6" s="4"/>
      <c r="M6" s="4"/>
      <c r="N6" s="4"/>
    </row>
    <row r="7" spans="1:256" ht="16.5">
      <c r="A7" s="840">
        <f>IF(Z7=1,Z8,"JOINT VENTURE OF "&amp;Z8&amp;" &amp; "&amp;Z9)</f>
        <v>0</v>
      </c>
      <c r="B7" s="840"/>
      <c r="C7" s="840"/>
      <c r="D7" s="840"/>
      <c r="E7" s="840"/>
      <c r="F7" s="840"/>
      <c r="G7" s="840"/>
      <c r="H7" s="840"/>
      <c r="I7" s="840"/>
      <c r="J7" s="407"/>
      <c r="K7" s="456" t="s">
        <v>1</v>
      </c>
      <c r="L7" s="406"/>
      <c r="N7" s="4"/>
      <c r="Z7" s="542">
        <f>'Names of Bidder'!K6</f>
        <v>1</v>
      </c>
    </row>
    <row r="8" spans="1:256" ht="16.5">
      <c r="A8" s="836" t="str">
        <f>"Bidder’s Name and Address  (" &amp; MID('Names of Bidder'!B9,9, 20) &amp; ") :"</f>
        <v>Bidder’s Name and Address  (Sole Bidder) :</v>
      </c>
      <c r="B8" s="836"/>
      <c r="C8" s="836"/>
      <c r="D8" s="836"/>
      <c r="E8" s="836"/>
      <c r="F8" s="836"/>
      <c r="G8" s="836"/>
      <c r="H8" s="549"/>
      <c r="I8" s="549"/>
      <c r="J8" s="549"/>
      <c r="K8" s="457" t="s">
        <v>2</v>
      </c>
      <c r="L8" s="549"/>
      <c r="N8" s="4"/>
      <c r="U8" s="539"/>
      <c r="Z8" s="842">
        <f>'Names of Bidder'!D9</f>
        <v>0</v>
      </c>
      <c r="AA8" s="842"/>
      <c r="AB8" s="842"/>
      <c r="AC8" s="842"/>
      <c r="AD8" s="842"/>
      <c r="AE8" s="842"/>
      <c r="AF8" s="842"/>
      <c r="AG8" s="842"/>
      <c r="AH8" s="842"/>
      <c r="AI8" s="842"/>
      <c r="AJ8" s="842"/>
      <c r="AK8" s="842"/>
      <c r="AL8" s="842"/>
    </row>
    <row r="9" spans="1:256" ht="16.5">
      <c r="A9" s="462" t="s">
        <v>12</v>
      </c>
      <c r="B9" s="408"/>
      <c r="C9" s="839" t="str">
        <f>IF('Names of Bidder'!D9=0, "", 'Names of Bidder'!D9)</f>
        <v/>
      </c>
      <c r="D9" s="839"/>
      <c r="E9" s="839"/>
      <c r="F9" s="839"/>
      <c r="G9" s="839"/>
      <c r="H9" s="445"/>
      <c r="I9" s="409"/>
      <c r="J9" s="410"/>
      <c r="K9" s="457" t="s">
        <v>3</v>
      </c>
      <c r="N9" s="4"/>
      <c r="U9" s="539"/>
      <c r="Z9" s="842">
        <f>'Names of Bidder'!D14</f>
        <v>0</v>
      </c>
      <c r="AA9" s="842"/>
      <c r="AB9" s="842"/>
      <c r="AC9" s="842"/>
      <c r="AD9" s="842"/>
      <c r="AE9" s="842"/>
      <c r="AF9" s="842"/>
      <c r="AG9" s="842"/>
      <c r="AH9" s="842"/>
      <c r="AI9" s="842"/>
      <c r="AJ9" s="842"/>
      <c r="AK9" s="842"/>
      <c r="AL9" s="842"/>
    </row>
    <row r="10" spans="1:256" ht="16.5">
      <c r="A10" s="462" t="s">
        <v>11</v>
      </c>
      <c r="B10" s="408"/>
      <c r="C10" s="838" t="str">
        <f>IF('Names of Bidder'!D10=0, "", 'Names of Bidder'!D10)</f>
        <v/>
      </c>
      <c r="D10" s="838"/>
      <c r="E10" s="838"/>
      <c r="F10" s="838"/>
      <c r="G10" s="838"/>
      <c r="H10" s="445"/>
      <c r="I10" s="409"/>
      <c r="J10" s="410"/>
      <c r="K10" s="457" t="s">
        <v>4</v>
      </c>
      <c r="N10" s="4"/>
      <c r="Z10" s="842" t="str">
        <f>"JOINT VENTURE OF "&amp;Z8&amp;" &amp; "&amp;Z9</f>
        <v>JOINT VENTURE OF 0 &amp; 0</v>
      </c>
      <c r="AA10" s="842"/>
      <c r="AB10" s="842"/>
      <c r="AC10" s="842"/>
      <c r="AD10" s="842"/>
      <c r="AE10" s="842"/>
      <c r="AF10" s="842"/>
      <c r="AG10" s="842"/>
      <c r="AH10" s="842"/>
      <c r="AI10" s="842"/>
      <c r="AJ10" s="842"/>
      <c r="AK10" s="842"/>
      <c r="AL10" s="842"/>
    </row>
    <row r="11" spans="1:256">
      <c r="A11" s="409"/>
      <c r="B11" s="409"/>
      <c r="C11" s="838" t="str">
        <f>IF('Names of Bidder'!D11=0, "", 'Names of Bidder'!D11)</f>
        <v/>
      </c>
      <c r="D11" s="838"/>
      <c r="E11" s="838"/>
      <c r="F11" s="838"/>
      <c r="G11" s="838"/>
      <c r="H11" s="445"/>
      <c r="I11" s="409"/>
      <c r="J11" s="410"/>
      <c r="K11" s="457" t="s">
        <v>5</v>
      </c>
      <c r="N11" s="4"/>
    </row>
    <row r="12" spans="1:256">
      <c r="A12" s="409"/>
      <c r="B12" s="409"/>
      <c r="C12" s="838" t="str">
        <f>IF('Names of Bidder'!D12=0, "", 'Names of Bidder'!D12)</f>
        <v/>
      </c>
      <c r="D12" s="838"/>
      <c r="E12" s="838"/>
      <c r="F12" s="838"/>
      <c r="G12" s="838"/>
      <c r="H12" s="445"/>
      <c r="I12" s="409"/>
      <c r="J12" s="410"/>
      <c r="K12" s="457" t="s">
        <v>6</v>
      </c>
      <c r="N12" s="4"/>
    </row>
    <row r="13" spans="1:256" s="540" customFormat="1" ht="16.5">
      <c r="A13" s="841" t="s">
        <v>310</v>
      </c>
      <c r="B13" s="841"/>
      <c r="C13" s="841"/>
      <c r="D13" s="841"/>
      <c r="E13" s="841"/>
      <c r="F13" s="841"/>
      <c r="G13" s="841"/>
      <c r="H13" s="841"/>
      <c r="I13" s="841"/>
      <c r="J13" s="841"/>
      <c r="K13" s="841"/>
      <c r="L13" s="841"/>
      <c r="M13" s="841"/>
      <c r="N13" s="841"/>
    </row>
    <row r="14" spans="1:256">
      <c r="A14" s="4"/>
      <c r="B14" s="4"/>
      <c r="C14" s="4"/>
      <c r="D14" s="352"/>
      <c r="E14" s="4"/>
      <c r="F14" s="4"/>
      <c r="G14" s="4"/>
      <c r="H14" s="4"/>
      <c r="I14" s="4"/>
      <c r="J14" s="352"/>
      <c r="K14" s="837" t="s">
        <v>357</v>
      </c>
      <c r="L14" s="837"/>
      <c r="M14" s="837"/>
      <c r="N14" s="837"/>
    </row>
    <row r="15" spans="1:256" ht="115.5">
      <c r="A15" s="391" t="s">
        <v>7</v>
      </c>
      <c r="B15" s="391" t="s">
        <v>266</v>
      </c>
      <c r="C15" s="391" t="s">
        <v>278</v>
      </c>
      <c r="D15" s="391" t="s">
        <v>280</v>
      </c>
      <c r="E15" s="391" t="s">
        <v>13</v>
      </c>
      <c r="F15" s="391" t="s">
        <v>311</v>
      </c>
      <c r="G15" s="443" t="s">
        <v>493</v>
      </c>
      <c r="H15" s="391" t="s">
        <v>315</v>
      </c>
      <c r="I15" s="444" t="s">
        <v>494</v>
      </c>
      <c r="J15" s="391" t="s">
        <v>8</v>
      </c>
      <c r="K15" s="16" t="s">
        <v>9</v>
      </c>
      <c r="L15" s="16" t="s">
        <v>10</v>
      </c>
      <c r="M15" s="391" t="s">
        <v>356</v>
      </c>
      <c r="N15" s="391" t="s">
        <v>355</v>
      </c>
    </row>
    <row r="16" spans="1:256" s="607" customFormat="1">
      <c r="A16" s="603">
        <v>1</v>
      </c>
      <c r="B16" s="603">
        <v>2</v>
      </c>
      <c r="C16" s="603">
        <v>3</v>
      </c>
      <c r="D16" s="604">
        <v>4</v>
      </c>
      <c r="E16" s="603">
        <v>5</v>
      </c>
      <c r="F16" s="603">
        <v>6</v>
      </c>
      <c r="G16" s="605">
        <v>7</v>
      </c>
      <c r="H16" s="603">
        <v>8</v>
      </c>
      <c r="I16" s="606">
        <v>9</v>
      </c>
      <c r="J16" s="604">
        <v>10</v>
      </c>
      <c r="K16" s="603">
        <v>11</v>
      </c>
      <c r="L16" s="603">
        <v>12</v>
      </c>
      <c r="M16" s="603">
        <v>13</v>
      </c>
      <c r="N16" s="603" t="s">
        <v>354</v>
      </c>
      <c r="IV16" s="607">
        <f>SUM(A16:IU16)</f>
        <v>91</v>
      </c>
    </row>
    <row r="17" spans="1:20" s="756" customFormat="1" ht="18.75">
      <c r="A17" s="768" t="s">
        <v>53</v>
      </c>
      <c r="B17" s="751" t="s">
        <v>544</v>
      </c>
      <c r="C17" s="752"/>
      <c r="D17" s="753"/>
      <c r="E17" s="752"/>
      <c r="F17" s="752"/>
      <c r="G17" s="754"/>
      <c r="H17" s="752"/>
      <c r="I17" s="755"/>
      <c r="J17" s="753"/>
      <c r="K17" s="752"/>
      <c r="L17" s="752"/>
      <c r="M17" s="750"/>
      <c r="N17" s="752"/>
    </row>
    <row r="18" spans="1:20" ht="31.5">
      <c r="A18" s="536">
        <v>1</v>
      </c>
      <c r="B18" s="546">
        <v>7000018791</v>
      </c>
      <c r="C18" s="546">
        <v>10</v>
      </c>
      <c r="D18" s="546" t="s">
        <v>545</v>
      </c>
      <c r="E18" s="546">
        <v>1000004532</v>
      </c>
      <c r="F18" s="546">
        <v>85359030</v>
      </c>
      <c r="G18" s="537"/>
      <c r="H18" s="546">
        <v>18</v>
      </c>
      <c r="I18" s="535"/>
      <c r="J18" s="538" t="s">
        <v>565</v>
      </c>
      <c r="K18" s="546" t="s">
        <v>301</v>
      </c>
      <c r="L18" s="546">
        <v>2</v>
      </c>
      <c r="M18" s="547"/>
      <c r="N18" s="548" t="str">
        <f>IF(M18=0, "INCLUDED", IF(ISERROR(M18*L18), M18, M18*L18))</f>
        <v>INCLUDED</v>
      </c>
      <c r="O18" s="634">
        <f>IF(N18="Included",0,N18)</f>
        <v>0</v>
      </c>
      <c r="P18" s="634">
        <f>IF( I18="",H18*(IF(N18="Included",0,N18))/100,I18*(IF(N18="Included",0,N18)))</f>
        <v>0</v>
      </c>
      <c r="Q18" s="639">
        <f>Discount!$H$36</f>
        <v>0</v>
      </c>
      <c r="R18" s="639">
        <f>Q18*O18</f>
        <v>0</v>
      </c>
      <c r="S18" s="639">
        <f>IF(I18="",H18*R18/100,I18*R18)</f>
        <v>0</v>
      </c>
      <c r="T18" s="766">
        <f>M18*L18</f>
        <v>0</v>
      </c>
    </row>
    <row r="19" spans="1:20" ht="31.5">
      <c r="A19" s="459">
        <v>2</v>
      </c>
      <c r="B19" s="546">
        <v>7000018791</v>
      </c>
      <c r="C19" s="546">
        <v>20</v>
      </c>
      <c r="D19" s="546" t="s">
        <v>545</v>
      </c>
      <c r="E19" s="546">
        <v>1000004631</v>
      </c>
      <c r="F19" s="546">
        <v>85359030</v>
      </c>
      <c r="G19" s="534"/>
      <c r="H19" s="546">
        <v>18</v>
      </c>
      <c r="I19" s="535"/>
      <c r="J19" s="538" t="s">
        <v>566</v>
      </c>
      <c r="K19" s="546" t="s">
        <v>301</v>
      </c>
      <c r="L19" s="546">
        <v>2</v>
      </c>
      <c r="M19" s="547"/>
      <c r="N19" s="548" t="str">
        <f t="shared" ref="N19:N82" si="0">IF(M19=0, "INCLUDED", IF(ISERROR(M19*L19), M19, M19*L19))</f>
        <v>INCLUDED</v>
      </c>
      <c r="O19" s="634">
        <f t="shared" ref="O19:O82" si="1">IF(N19="Included",0,N19)</f>
        <v>0</v>
      </c>
      <c r="P19" s="634">
        <f t="shared" ref="P19:P82" si="2">IF( I19="",H19*(IF(N19="Included",0,N19))/100,I19*(IF(N19="Included",0,N19)))</f>
        <v>0</v>
      </c>
      <c r="Q19" s="639">
        <f>Discount!$H$36</f>
        <v>0</v>
      </c>
      <c r="R19" s="639">
        <f t="shared" ref="R19:R82" si="3">Q19*O19</f>
        <v>0</v>
      </c>
      <c r="S19" s="639">
        <f t="shared" ref="S19:S82" si="4">IF(I19="",H19*R19/100,I19*R19)</f>
        <v>0</v>
      </c>
      <c r="T19" s="766">
        <f t="shared" ref="T19" si="5">M19*L19</f>
        <v>0</v>
      </c>
    </row>
    <row r="20" spans="1:20" ht="31.5">
      <c r="A20" s="536">
        <v>3</v>
      </c>
      <c r="B20" s="546">
        <v>7000018791</v>
      </c>
      <c r="C20" s="546">
        <v>30</v>
      </c>
      <c r="D20" s="546" t="s">
        <v>545</v>
      </c>
      <c r="E20" s="546">
        <v>1000004494</v>
      </c>
      <c r="F20" s="546">
        <v>85359030</v>
      </c>
      <c r="G20" s="534"/>
      <c r="H20" s="546">
        <v>18</v>
      </c>
      <c r="I20" s="535"/>
      <c r="J20" s="538" t="s">
        <v>567</v>
      </c>
      <c r="K20" s="546" t="s">
        <v>301</v>
      </c>
      <c r="L20" s="546">
        <v>2</v>
      </c>
      <c r="M20" s="547"/>
      <c r="N20" s="548" t="str">
        <f t="shared" si="0"/>
        <v>INCLUDED</v>
      </c>
      <c r="O20" s="634">
        <f t="shared" si="1"/>
        <v>0</v>
      </c>
      <c r="P20" s="634">
        <f t="shared" si="2"/>
        <v>0</v>
      </c>
      <c r="Q20" s="639">
        <f>Discount!$H$36</f>
        <v>0</v>
      </c>
      <c r="R20" s="639">
        <f t="shared" si="3"/>
        <v>0</v>
      </c>
      <c r="S20" s="639">
        <f t="shared" si="4"/>
        <v>0</v>
      </c>
      <c r="T20" s="766">
        <f t="shared" ref="T20:T21" si="6">M20*L20</f>
        <v>0</v>
      </c>
    </row>
    <row r="21" spans="1:20" ht="31.5">
      <c r="A21" s="459">
        <v>4</v>
      </c>
      <c r="B21" s="546">
        <v>7000018791</v>
      </c>
      <c r="C21" s="546">
        <v>40</v>
      </c>
      <c r="D21" s="546" t="s">
        <v>545</v>
      </c>
      <c r="E21" s="546">
        <v>1000029506</v>
      </c>
      <c r="F21" s="546">
        <v>85389000</v>
      </c>
      <c r="G21" s="534"/>
      <c r="H21" s="546">
        <v>18</v>
      </c>
      <c r="I21" s="535"/>
      <c r="J21" s="538" t="s">
        <v>568</v>
      </c>
      <c r="K21" s="546" t="s">
        <v>300</v>
      </c>
      <c r="L21" s="546">
        <v>6</v>
      </c>
      <c r="M21" s="547"/>
      <c r="N21" s="548" t="str">
        <f t="shared" si="0"/>
        <v>INCLUDED</v>
      </c>
      <c r="O21" s="634">
        <f t="shared" si="1"/>
        <v>0</v>
      </c>
      <c r="P21" s="634">
        <f t="shared" si="2"/>
        <v>0</v>
      </c>
      <c r="Q21" s="639">
        <f>Discount!$H$36</f>
        <v>0</v>
      </c>
      <c r="R21" s="639">
        <f t="shared" si="3"/>
        <v>0</v>
      </c>
      <c r="S21" s="639">
        <f t="shared" si="4"/>
        <v>0</v>
      </c>
      <c r="T21" s="766">
        <f t="shared" si="6"/>
        <v>0</v>
      </c>
    </row>
    <row r="22" spans="1:20" ht="31.5">
      <c r="A22" s="536">
        <v>5</v>
      </c>
      <c r="B22" s="546">
        <v>7000018791</v>
      </c>
      <c r="C22" s="546">
        <v>50</v>
      </c>
      <c r="D22" s="546" t="s">
        <v>545</v>
      </c>
      <c r="E22" s="546">
        <v>1000004294</v>
      </c>
      <c r="F22" s="546">
        <v>85389000</v>
      </c>
      <c r="G22" s="534"/>
      <c r="H22" s="546">
        <v>18</v>
      </c>
      <c r="I22" s="535"/>
      <c r="J22" s="538" t="s">
        <v>569</v>
      </c>
      <c r="K22" s="546" t="s">
        <v>476</v>
      </c>
      <c r="L22" s="546">
        <v>350</v>
      </c>
      <c r="M22" s="547"/>
      <c r="N22" s="548" t="str">
        <f t="shared" si="0"/>
        <v>INCLUDED</v>
      </c>
      <c r="O22" s="634">
        <f t="shared" si="1"/>
        <v>0</v>
      </c>
      <c r="P22" s="634">
        <f t="shared" si="2"/>
        <v>0</v>
      </c>
      <c r="Q22" s="639">
        <f>Discount!$H$36</f>
        <v>0</v>
      </c>
      <c r="R22" s="639">
        <f t="shared" si="3"/>
        <v>0</v>
      </c>
      <c r="S22" s="639">
        <f t="shared" si="4"/>
        <v>0</v>
      </c>
      <c r="T22" s="766">
        <f t="shared" ref="T22:T125" si="7">M22*L22</f>
        <v>0</v>
      </c>
    </row>
    <row r="23" spans="1:20" ht="31.5">
      <c r="A23" s="459">
        <v>6</v>
      </c>
      <c r="B23" s="546">
        <v>7000018791</v>
      </c>
      <c r="C23" s="546">
        <v>60</v>
      </c>
      <c r="D23" s="546" t="s">
        <v>545</v>
      </c>
      <c r="E23" s="546">
        <v>1000004286</v>
      </c>
      <c r="F23" s="546">
        <v>85389000</v>
      </c>
      <c r="G23" s="534"/>
      <c r="H23" s="546">
        <v>18</v>
      </c>
      <c r="I23" s="535"/>
      <c r="J23" s="538" t="s">
        <v>570</v>
      </c>
      <c r="K23" s="546" t="s">
        <v>476</v>
      </c>
      <c r="L23" s="546">
        <v>200</v>
      </c>
      <c r="M23" s="547"/>
      <c r="N23" s="548" t="str">
        <f t="shared" si="0"/>
        <v>INCLUDED</v>
      </c>
      <c r="O23" s="634">
        <f t="shared" si="1"/>
        <v>0</v>
      </c>
      <c r="P23" s="634">
        <f t="shared" si="2"/>
        <v>0</v>
      </c>
      <c r="Q23" s="639">
        <f>Discount!$H$36</f>
        <v>0</v>
      </c>
      <c r="R23" s="639">
        <f t="shared" si="3"/>
        <v>0</v>
      </c>
      <c r="S23" s="639">
        <f t="shared" si="4"/>
        <v>0</v>
      </c>
      <c r="T23" s="766">
        <f t="shared" si="7"/>
        <v>0</v>
      </c>
    </row>
    <row r="24" spans="1:20" ht="31.5">
      <c r="A24" s="536">
        <v>7</v>
      </c>
      <c r="B24" s="546">
        <v>7000018791</v>
      </c>
      <c r="C24" s="546">
        <v>70</v>
      </c>
      <c r="D24" s="546" t="s">
        <v>545</v>
      </c>
      <c r="E24" s="546">
        <v>1000032798</v>
      </c>
      <c r="F24" s="546">
        <v>85389000</v>
      </c>
      <c r="G24" s="534"/>
      <c r="H24" s="546">
        <v>18</v>
      </c>
      <c r="I24" s="535"/>
      <c r="J24" s="538" t="s">
        <v>571</v>
      </c>
      <c r="K24" s="546" t="s">
        <v>301</v>
      </c>
      <c r="L24" s="546">
        <v>6</v>
      </c>
      <c r="M24" s="547"/>
      <c r="N24" s="548" t="str">
        <f t="shared" si="0"/>
        <v>INCLUDED</v>
      </c>
      <c r="O24" s="634">
        <f t="shared" si="1"/>
        <v>0</v>
      </c>
      <c r="P24" s="634">
        <f t="shared" si="2"/>
        <v>0</v>
      </c>
      <c r="Q24" s="639">
        <f>Discount!$H$36</f>
        <v>0</v>
      </c>
      <c r="R24" s="639">
        <f t="shared" si="3"/>
        <v>0</v>
      </c>
      <c r="S24" s="639">
        <f t="shared" si="4"/>
        <v>0</v>
      </c>
      <c r="T24" s="766">
        <f t="shared" si="7"/>
        <v>0</v>
      </c>
    </row>
    <row r="25" spans="1:20" ht="31.5">
      <c r="A25" s="459">
        <v>8</v>
      </c>
      <c r="B25" s="546">
        <v>7000018791</v>
      </c>
      <c r="C25" s="546">
        <v>80</v>
      </c>
      <c r="D25" s="546" t="s">
        <v>546</v>
      </c>
      <c r="E25" s="546">
        <v>1000025436</v>
      </c>
      <c r="F25" s="546">
        <v>90271000</v>
      </c>
      <c r="G25" s="534"/>
      <c r="H25" s="546">
        <v>18</v>
      </c>
      <c r="I25" s="535"/>
      <c r="J25" s="538" t="s">
        <v>524</v>
      </c>
      <c r="K25" s="546" t="s">
        <v>300</v>
      </c>
      <c r="L25" s="546">
        <v>1</v>
      </c>
      <c r="M25" s="547"/>
      <c r="N25" s="548" t="str">
        <f t="shared" si="0"/>
        <v>INCLUDED</v>
      </c>
      <c r="O25" s="634">
        <f t="shared" si="1"/>
        <v>0</v>
      </c>
      <c r="P25" s="634">
        <f t="shared" si="2"/>
        <v>0</v>
      </c>
      <c r="Q25" s="639">
        <f>Discount!$H$36</f>
        <v>0</v>
      </c>
      <c r="R25" s="639">
        <f t="shared" si="3"/>
        <v>0</v>
      </c>
      <c r="S25" s="639">
        <f t="shared" si="4"/>
        <v>0</v>
      </c>
      <c r="T25" s="766">
        <f t="shared" si="7"/>
        <v>0</v>
      </c>
    </row>
    <row r="26" spans="1:20" ht="31.5">
      <c r="A26" s="536">
        <v>9</v>
      </c>
      <c r="B26" s="546">
        <v>7000018791</v>
      </c>
      <c r="C26" s="546">
        <v>90</v>
      </c>
      <c r="D26" s="546" t="s">
        <v>546</v>
      </c>
      <c r="E26" s="546">
        <v>1000032132</v>
      </c>
      <c r="F26" s="546">
        <v>85389000</v>
      </c>
      <c r="G26" s="534"/>
      <c r="H26" s="546">
        <v>18</v>
      </c>
      <c r="I26" s="535"/>
      <c r="J26" s="538" t="s">
        <v>523</v>
      </c>
      <c r="K26" s="546" t="s">
        <v>300</v>
      </c>
      <c r="L26" s="546">
        <v>1</v>
      </c>
      <c r="M26" s="547"/>
      <c r="N26" s="548" t="str">
        <f t="shared" si="0"/>
        <v>INCLUDED</v>
      </c>
      <c r="O26" s="634">
        <f t="shared" si="1"/>
        <v>0</v>
      </c>
      <c r="P26" s="634">
        <f t="shared" si="2"/>
        <v>0</v>
      </c>
      <c r="Q26" s="639">
        <f>Discount!$H$36</f>
        <v>0</v>
      </c>
      <c r="R26" s="639">
        <f t="shared" si="3"/>
        <v>0</v>
      </c>
      <c r="S26" s="639">
        <f t="shared" si="4"/>
        <v>0</v>
      </c>
      <c r="T26" s="766">
        <f t="shared" si="7"/>
        <v>0</v>
      </c>
    </row>
    <row r="27" spans="1:20" ht="31.5">
      <c r="A27" s="459">
        <v>10</v>
      </c>
      <c r="B27" s="546">
        <v>7000018791</v>
      </c>
      <c r="C27" s="546">
        <v>100</v>
      </c>
      <c r="D27" s="546" t="s">
        <v>547</v>
      </c>
      <c r="E27" s="546">
        <v>1000004535</v>
      </c>
      <c r="F27" s="546">
        <v>85359090</v>
      </c>
      <c r="G27" s="534"/>
      <c r="H27" s="546">
        <v>18</v>
      </c>
      <c r="I27" s="535"/>
      <c r="J27" s="538" t="s">
        <v>572</v>
      </c>
      <c r="K27" s="546" t="s">
        <v>300</v>
      </c>
      <c r="L27" s="546">
        <v>6</v>
      </c>
      <c r="M27" s="547"/>
      <c r="N27" s="548" t="str">
        <f t="shared" si="0"/>
        <v>INCLUDED</v>
      </c>
      <c r="O27" s="634">
        <f t="shared" si="1"/>
        <v>0</v>
      </c>
      <c r="P27" s="634">
        <f t="shared" si="2"/>
        <v>0</v>
      </c>
      <c r="Q27" s="639">
        <f>Discount!$H$36</f>
        <v>0</v>
      </c>
      <c r="R27" s="639">
        <f t="shared" si="3"/>
        <v>0</v>
      </c>
      <c r="S27" s="639">
        <f t="shared" si="4"/>
        <v>0</v>
      </c>
      <c r="T27" s="766">
        <f t="shared" si="7"/>
        <v>0</v>
      </c>
    </row>
    <row r="28" spans="1:20" ht="31.5">
      <c r="A28" s="536">
        <v>11</v>
      </c>
      <c r="B28" s="546">
        <v>7000018791</v>
      </c>
      <c r="C28" s="546">
        <v>110</v>
      </c>
      <c r="D28" s="546" t="s">
        <v>547</v>
      </c>
      <c r="E28" s="546">
        <v>1000020419</v>
      </c>
      <c r="F28" s="546">
        <v>85354010</v>
      </c>
      <c r="G28" s="534"/>
      <c r="H28" s="546">
        <v>18</v>
      </c>
      <c r="I28" s="535"/>
      <c r="J28" s="538" t="s">
        <v>503</v>
      </c>
      <c r="K28" s="546" t="s">
        <v>300</v>
      </c>
      <c r="L28" s="546">
        <v>6</v>
      </c>
      <c r="M28" s="547"/>
      <c r="N28" s="548" t="str">
        <f t="shared" si="0"/>
        <v>INCLUDED</v>
      </c>
      <c r="O28" s="634">
        <f t="shared" si="1"/>
        <v>0</v>
      </c>
      <c r="P28" s="634">
        <f t="shared" si="2"/>
        <v>0</v>
      </c>
      <c r="Q28" s="639">
        <f>Discount!$H$36</f>
        <v>0</v>
      </c>
      <c r="R28" s="639">
        <f t="shared" si="3"/>
        <v>0</v>
      </c>
      <c r="S28" s="639">
        <f t="shared" si="4"/>
        <v>0</v>
      </c>
      <c r="T28" s="766">
        <f t="shared" si="7"/>
        <v>0</v>
      </c>
    </row>
    <row r="29" spans="1:20" ht="31.5">
      <c r="A29" s="459">
        <v>12</v>
      </c>
      <c r="B29" s="546">
        <v>7000018791</v>
      </c>
      <c r="C29" s="546">
        <v>120</v>
      </c>
      <c r="D29" s="546" t="s">
        <v>547</v>
      </c>
      <c r="E29" s="546">
        <v>1000004401</v>
      </c>
      <c r="F29" s="546">
        <v>85462040</v>
      </c>
      <c r="G29" s="534"/>
      <c r="H29" s="546">
        <v>18</v>
      </c>
      <c r="I29" s="535"/>
      <c r="J29" s="538" t="s">
        <v>573</v>
      </c>
      <c r="K29" s="546" t="s">
        <v>300</v>
      </c>
      <c r="L29" s="546">
        <v>40</v>
      </c>
      <c r="M29" s="547"/>
      <c r="N29" s="548" t="str">
        <f t="shared" si="0"/>
        <v>INCLUDED</v>
      </c>
      <c r="O29" s="634">
        <f t="shared" si="1"/>
        <v>0</v>
      </c>
      <c r="P29" s="634">
        <f t="shared" si="2"/>
        <v>0</v>
      </c>
      <c r="Q29" s="639">
        <f>Discount!$H$36</f>
        <v>0</v>
      </c>
      <c r="R29" s="639">
        <f t="shared" si="3"/>
        <v>0</v>
      </c>
      <c r="S29" s="639">
        <f t="shared" si="4"/>
        <v>0</v>
      </c>
      <c r="T29" s="766">
        <f t="shared" si="7"/>
        <v>0</v>
      </c>
    </row>
    <row r="30" spans="1:20" ht="31.5">
      <c r="A30" s="536">
        <v>13</v>
      </c>
      <c r="B30" s="546">
        <v>7000018791</v>
      </c>
      <c r="C30" s="546">
        <v>130</v>
      </c>
      <c r="D30" s="546" t="s">
        <v>547</v>
      </c>
      <c r="E30" s="546">
        <v>1000004400</v>
      </c>
      <c r="F30" s="546">
        <v>85462040</v>
      </c>
      <c r="G30" s="534"/>
      <c r="H30" s="546">
        <v>18</v>
      </c>
      <c r="I30" s="535"/>
      <c r="J30" s="538" t="s">
        <v>574</v>
      </c>
      <c r="K30" s="546" t="s">
        <v>300</v>
      </c>
      <c r="L30" s="546">
        <v>12</v>
      </c>
      <c r="M30" s="547"/>
      <c r="N30" s="548" t="str">
        <f t="shared" si="0"/>
        <v>INCLUDED</v>
      </c>
      <c r="O30" s="634">
        <f t="shared" si="1"/>
        <v>0</v>
      </c>
      <c r="P30" s="634">
        <f t="shared" si="2"/>
        <v>0</v>
      </c>
      <c r="Q30" s="639">
        <f>Discount!$H$36</f>
        <v>0</v>
      </c>
      <c r="R30" s="639">
        <f t="shared" si="3"/>
        <v>0</v>
      </c>
      <c r="S30" s="639">
        <f t="shared" si="4"/>
        <v>0</v>
      </c>
      <c r="T30" s="766">
        <f t="shared" si="7"/>
        <v>0</v>
      </c>
    </row>
    <row r="31" spans="1:20" ht="31.5">
      <c r="A31" s="459">
        <v>14</v>
      </c>
      <c r="B31" s="546">
        <v>7000018791</v>
      </c>
      <c r="C31" s="546">
        <v>140</v>
      </c>
      <c r="D31" s="546" t="s">
        <v>548</v>
      </c>
      <c r="E31" s="546">
        <v>1000011336</v>
      </c>
      <c r="F31" s="546">
        <v>72169990</v>
      </c>
      <c r="G31" s="534"/>
      <c r="H31" s="546">
        <v>18</v>
      </c>
      <c r="I31" s="535"/>
      <c r="J31" s="538" t="s">
        <v>575</v>
      </c>
      <c r="K31" s="546" t="s">
        <v>301</v>
      </c>
      <c r="L31" s="546">
        <v>2</v>
      </c>
      <c r="M31" s="547"/>
      <c r="N31" s="548" t="str">
        <f t="shared" si="0"/>
        <v>INCLUDED</v>
      </c>
      <c r="O31" s="634">
        <f t="shared" si="1"/>
        <v>0</v>
      </c>
      <c r="P31" s="634">
        <f t="shared" si="2"/>
        <v>0</v>
      </c>
      <c r="Q31" s="639">
        <f>Discount!$H$36</f>
        <v>0</v>
      </c>
      <c r="R31" s="639">
        <f t="shared" si="3"/>
        <v>0</v>
      </c>
      <c r="S31" s="639">
        <f t="shared" si="4"/>
        <v>0</v>
      </c>
      <c r="T31" s="766">
        <f t="shared" si="7"/>
        <v>0</v>
      </c>
    </row>
    <row r="32" spans="1:20" ht="110.25">
      <c r="A32" s="536">
        <v>15</v>
      </c>
      <c r="B32" s="546">
        <v>7000018791</v>
      </c>
      <c r="C32" s="546">
        <v>150</v>
      </c>
      <c r="D32" s="546" t="s">
        <v>548</v>
      </c>
      <c r="E32" s="546">
        <v>1000046023</v>
      </c>
      <c r="F32" s="546">
        <v>82057000</v>
      </c>
      <c r="G32" s="534"/>
      <c r="H32" s="546">
        <v>18</v>
      </c>
      <c r="I32" s="535"/>
      <c r="J32" s="538" t="s">
        <v>576</v>
      </c>
      <c r="K32" s="546" t="s">
        <v>506</v>
      </c>
      <c r="L32" s="546">
        <v>1</v>
      </c>
      <c r="M32" s="547"/>
      <c r="N32" s="548" t="str">
        <f t="shared" si="0"/>
        <v>INCLUDED</v>
      </c>
      <c r="O32" s="634">
        <f t="shared" si="1"/>
        <v>0</v>
      </c>
      <c r="P32" s="634">
        <f t="shared" si="2"/>
        <v>0</v>
      </c>
      <c r="Q32" s="639">
        <f>Discount!$H$36</f>
        <v>0</v>
      </c>
      <c r="R32" s="639">
        <f t="shared" si="3"/>
        <v>0</v>
      </c>
      <c r="S32" s="639">
        <f t="shared" si="4"/>
        <v>0</v>
      </c>
      <c r="T32" s="766">
        <f t="shared" si="7"/>
        <v>0</v>
      </c>
    </row>
    <row r="33" spans="1:20">
      <c r="A33" s="459">
        <v>16</v>
      </c>
      <c r="B33" s="546">
        <v>7000018791</v>
      </c>
      <c r="C33" s="546">
        <v>160</v>
      </c>
      <c r="D33" s="546" t="s">
        <v>549</v>
      </c>
      <c r="E33" s="546">
        <v>1000032055</v>
      </c>
      <c r="F33" s="546">
        <v>72159090</v>
      </c>
      <c r="G33" s="534"/>
      <c r="H33" s="546">
        <v>18</v>
      </c>
      <c r="I33" s="535"/>
      <c r="J33" s="538" t="s">
        <v>577</v>
      </c>
      <c r="K33" s="546" t="s">
        <v>302</v>
      </c>
      <c r="L33" s="546">
        <v>1</v>
      </c>
      <c r="M33" s="547"/>
      <c r="N33" s="548" t="str">
        <f t="shared" si="0"/>
        <v>INCLUDED</v>
      </c>
      <c r="O33" s="634">
        <f t="shared" si="1"/>
        <v>0</v>
      </c>
      <c r="P33" s="634">
        <f t="shared" si="2"/>
        <v>0</v>
      </c>
      <c r="Q33" s="639">
        <f>Discount!$H$36</f>
        <v>0</v>
      </c>
      <c r="R33" s="639">
        <f t="shared" si="3"/>
        <v>0</v>
      </c>
      <c r="S33" s="639">
        <f t="shared" si="4"/>
        <v>0</v>
      </c>
      <c r="T33" s="766">
        <f t="shared" si="7"/>
        <v>0</v>
      </c>
    </row>
    <row r="34" spans="1:20" ht="31.5">
      <c r="A34" s="536">
        <v>17</v>
      </c>
      <c r="B34" s="546">
        <v>7000018791</v>
      </c>
      <c r="C34" s="546">
        <v>170</v>
      </c>
      <c r="D34" s="546" t="s">
        <v>550</v>
      </c>
      <c r="E34" s="546">
        <v>1000002166</v>
      </c>
      <c r="F34" s="546">
        <v>85371000</v>
      </c>
      <c r="G34" s="534"/>
      <c r="H34" s="546">
        <v>18</v>
      </c>
      <c r="I34" s="535"/>
      <c r="J34" s="538" t="s">
        <v>578</v>
      </c>
      <c r="K34" s="546" t="s">
        <v>300</v>
      </c>
      <c r="L34" s="546">
        <v>4</v>
      </c>
      <c r="M34" s="547"/>
      <c r="N34" s="548" t="str">
        <f t="shared" si="0"/>
        <v>INCLUDED</v>
      </c>
      <c r="O34" s="634">
        <f t="shared" si="1"/>
        <v>0</v>
      </c>
      <c r="P34" s="634">
        <f t="shared" si="2"/>
        <v>0</v>
      </c>
      <c r="Q34" s="639">
        <f>Discount!$H$36</f>
        <v>0</v>
      </c>
      <c r="R34" s="639">
        <f t="shared" si="3"/>
        <v>0</v>
      </c>
      <c r="S34" s="639">
        <f t="shared" si="4"/>
        <v>0</v>
      </c>
      <c r="T34" s="766">
        <f t="shared" si="7"/>
        <v>0</v>
      </c>
    </row>
    <row r="35" spans="1:20" ht="31.5">
      <c r="A35" s="459">
        <v>18</v>
      </c>
      <c r="B35" s="546">
        <v>7000018791</v>
      </c>
      <c r="C35" s="546">
        <v>180</v>
      </c>
      <c r="D35" s="546" t="s">
        <v>550</v>
      </c>
      <c r="E35" s="546">
        <v>1000003397</v>
      </c>
      <c r="F35" s="546">
        <v>85371000</v>
      </c>
      <c r="G35" s="534"/>
      <c r="H35" s="546">
        <v>18</v>
      </c>
      <c r="I35" s="535"/>
      <c r="J35" s="538" t="s">
        <v>579</v>
      </c>
      <c r="K35" s="546" t="s">
        <v>300</v>
      </c>
      <c r="L35" s="546">
        <v>2</v>
      </c>
      <c r="M35" s="547"/>
      <c r="N35" s="548" t="str">
        <f t="shared" si="0"/>
        <v>INCLUDED</v>
      </c>
      <c r="O35" s="634">
        <f t="shared" si="1"/>
        <v>0</v>
      </c>
      <c r="P35" s="634">
        <f t="shared" si="2"/>
        <v>0</v>
      </c>
      <c r="Q35" s="639">
        <f>Discount!$H$36</f>
        <v>0</v>
      </c>
      <c r="R35" s="639">
        <f t="shared" si="3"/>
        <v>0</v>
      </c>
      <c r="S35" s="639">
        <f t="shared" si="4"/>
        <v>0</v>
      </c>
      <c r="T35" s="766">
        <f t="shared" si="7"/>
        <v>0</v>
      </c>
    </row>
    <row r="36" spans="1:20" ht="31.5">
      <c r="A36" s="536">
        <v>19</v>
      </c>
      <c r="B36" s="546">
        <v>7000018791</v>
      </c>
      <c r="C36" s="546">
        <v>190</v>
      </c>
      <c r="D36" s="546" t="s">
        <v>550</v>
      </c>
      <c r="E36" s="546">
        <v>1000006843</v>
      </c>
      <c r="F36" s="546">
        <v>85371000</v>
      </c>
      <c r="G36" s="534"/>
      <c r="H36" s="546">
        <v>18</v>
      </c>
      <c r="I36" s="535"/>
      <c r="J36" s="538" t="s">
        <v>580</v>
      </c>
      <c r="K36" s="546" t="s">
        <v>301</v>
      </c>
      <c r="L36" s="546">
        <v>1</v>
      </c>
      <c r="M36" s="547"/>
      <c r="N36" s="548" t="str">
        <f t="shared" si="0"/>
        <v>INCLUDED</v>
      </c>
      <c r="O36" s="634">
        <f t="shared" si="1"/>
        <v>0</v>
      </c>
      <c r="P36" s="634">
        <f t="shared" si="2"/>
        <v>0</v>
      </c>
      <c r="Q36" s="639">
        <f>Discount!$H$36</f>
        <v>0</v>
      </c>
      <c r="R36" s="639">
        <f t="shared" si="3"/>
        <v>0</v>
      </c>
      <c r="S36" s="639">
        <f t="shared" si="4"/>
        <v>0</v>
      </c>
      <c r="T36" s="766">
        <f t="shared" si="7"/>
        <v>0</v>
      </c>
    </row>
    <row r="37" spans="1:20" ht="31.5">
      <c r="A37" s="459">
        <v>20</v>
      </c>
      <c r="B37" s="546">
        <v>7000018791</v>
      </c>
      <c r="C37" s="546">
        <v>200</v>
      </c>
      <c r="D37" s="546" t="s">
        <v>550</v>
      </c>
      <c r="E37" s="546">
        <v>1000009638</v>
      </c>
      <c r="F37" s="546">
        <v>85371000</v>
      </c>
      <c r="G37" s="534"/>
      <c r="H37" s="546">
        <v>18</v>
      </c>
      <c r="I37" s="535"/>
      <c r="J37" s="538" t="s">
        <v>581</v>
      </c>
      <c r="K37" s="546" t="s">
        <v>300</v>
      </c>
      <c r="L37" s="546">
        <v>2</v>
      </c>
      <c r="M37" s="547"/>
      <c r="N37" s="548" t="str">
        <f t="shared" si="0"/>
        <v>INCLUDED</v>
      </c>
      <c r="O37" s="634">
        <f t="shared" si="1"/>
        <v>0</v>
      </c>
      <c r="P37" s="634">
        <f t="shared" si="2"/>
        <v>0</v>
      </c>
      <c r="Q37" s="639">
        <f>Discount!$H$36</f>
        <v>0</v>
      </c>
      <c r="R37" s="639">
        <f t="shared" si="3"/>
        <v>0</v>
      </c>
      <c r="S37" s="639">
        <f t="shared" si="4"/>
        <v>0</v>
      </c>
      <c r="T37" s="766">
        <f t="shared" si="7"/>
        <v>0</v>
      </c>
    </row>
    <row r="38" spans="1:20" ht="31.5">
      <c r="A38" s="536">
        <v>21</v>
      </c>
      <c r="B38" s="546">
        <v>7000018791</v>
      </c>
      <c r="C38" s="546">
        <v>210</v>
      </c>
      <c r="D38" s="546" t="s">
        <v>551</v>
      </c>
      <c r="E38" s="546">
        <v>1000036908</v>
      </c>
      <c r="F38" s="546">
        <v>85446020</v>
      </c>
      <c r="G38" s="534"/>
      <c r="H38" s="546">
        <v>18</v>
      </c>
      <c r="I38" s="535"/>
      <c r="J38" s="538" t="s">
        <v>582</v>
      </c>
      <c r="K38" s="546" t="s">
        <v>302</v>
      </c>
      <c r="L38" s="546">
        <v>1</v>
      </c>
      <c r="M38" s="547"/>
      <c r="N38" s="548" t="str">
        <f t="shared" si="0"/>
        <v>INCLUDED</v>
      </c>
      <c r="O38" s="634">
        <f t="shared" si="1"/>
        <v>0</v>
      </c>
      <c r="P38" s="634">
        <f t="shared" si="2"/>
        <v>0</v>
      </c>
      <c r="Q38" s="639">
        <f>Discount!$H$36</f>
        <v>0</v>
      </c>
      <c r="R38" s="639">
        <f t="shared" si="3"/>
        <v>0</v>
      </c>
      <c r="S38" s="639">
        <f t="shared" si="4"/>
        <v>0</v>
      </c>
      <c r="T38" s="766">
        <f t="shared" si="7"/>
        <v>0</v>
      </c>
    </row>
    <row r="39" spans="1:20" ht="31.5">
      <c r="A39" s="459">
        <v>22</v>
      </c>
      <c r="B39" s="546">
        <v>7000018791</v>
      </c>
      <c r="C39" s="546">
        <v>220</v>
      </c>
      <c r="D39" s="546" t="s">
        <v>551</v>
      </c>
      <c r="E39" s="546">
        <v>1000010638</v>
      </c>
      <c r="F39" s="546">
        <v>85176210</v>
      </c>
      <c r="G39" s="534"/>
      <c r="H39" s="546">
        <v>18</v>
      </c>
      <c r="I39" s="535"/>
      <c r="J39" s="538" t="s">
        <v>505</v>
      </c>
      <c r="K39" s="546" t="s">
        <v>300</v>
      </c>
      <c r="L39" s="546">
        <v>2</v>
      </c>
      <c r="M39" s="547"/>
      <c r="N39" s="548" t="str">
        <f t="shared" si="0"/>
        <v>INCLUDED</v>
      </c>
      <c r="O39" s="634">
        <f t="shared" si="1"/>
        <v>0</v>
      </c>
      <c r="P39" s="634">
        <f t="shared" si="2"/>
        <v>0</v>
      </c>
      <c r="Q39" s="639">
        <f>Discount!$H$36</f>
        <v>0</v>
      </c>
      <c r="R39" s="639">
        <f t="shared" si="3"/>
        <v>0</v>
      </c>
      <c r="S39" s="639">
        <f t="shared" si="4"/>
        <v>0</v>
      </c>
      <c r="T39" s="766">
        <f t="shared" si="7"/>
        <v>0</v>
      </c>
    </row>
    <row r="40" spans="1:20" ht="31.5">
      <c r="A40" s="536">
        <v>23</v>
      </c>
      <c r="B40" s="546">
        <v>7000018791</v>
      </c>
      <c r="C40" s="546">
        <v>230</v>
      </c>
      <c r="D40" s="546" t="s">
        <v>551</v>
      </c>
      <c r="E40" s="546">
        <v>1000017887</v>
      </c>
      <c r="F40" s="546">
        <v>85176210</v>
      </c>
      <c r="G40" s="534"/>
      <c r="H40" s="546">
        <v>18</v>
      </c>
      <c r="I40" s="535"/>
      <c r="J40" s="538" t="s">
        <v>583</v>
      </c>
      <c r="K40" s="546" t="s">
        <v>300</v>
      </c>
      <c r="L40" s="546">
        <v>2</v>
      </c>
      <c r="M40" s="547"/>
      <c r="N40" s="548" t="str">
        <f t="shared" si="0"/>
        <v>INCLUDED</v>
      </c>
      <c r="O40" s="634">
        <f t="shared" si="1"/>
        <v>0</v>
      </c>
      <c r="P40" s="634">
        <f t="shared" si="2"/>
        <v>0</v>
      </c>
      <c r="Q40" s="639">
        <f>Discount!$H$36</f>
        <v>0</v>
      </c>
      <c r="R40" s="639">
        <f t="shared" si="3"/>
        <v>0</v>
      </c>
      <c r="S40" s="639">
        <f t="shared" si="4"/>
        <v>0</v>
      </c>
      <c r="T40" s="766">
        <f t="shared" si="7"/>
        <v>0</v>
      </c>
    </row>
    <row r="41" spans="1:20" ht="31.5">
      <c r="A41" s="459">
        <v>24</v>
      </c>
      <c r="B41" s="546">
        <v>7000018791</v>
      </c>
      <c r="C41" s="546">
        <v>240</v>
      </c>
      <c r="D41" s="546" t="s">
        <v>551</v>
      </c>
      <c r="E41" s="546">
        <v>1000000046</v>
      </c>
      <c r="F41" s="546">
        <v>85176210</v>
      </c>
      <c r="G41" s="534"/>
      <c r="H41" s="546">
        <v>18</v>
      </c>
      <c r="I41" s="535"/>
      <c r="J41" s="538" t="s">
        <v>510</v>
      </c>
      <c r="K41" s="546" t="s">
        <v>300</v>
      </c>
      <c r="L41" s="546">
        <v>2</v>
      </c>
      <c r="M41" s="547"/>
      <c r="N41" s="548" t="str">
        <f t="shared" si="0"/>
        <v>INCLUDED</v>
      </c>
      <c r="O41" s="634">
        <f t="shared" si="1"/>
        <v>0</v>
      </c>
      <c r="P41" s="634">
        <f t="shared" si="2"/>
        <v>0</v>
      </c>
      <c r="Q41" s="639">
        <f>Discount!$H$36</f>
        <v>0</v>
      </c>
      <c r="R41" s="639">
        <f t="shared" si="3"/>
        <v>0</v>
      </c>
      <c r="S41" s="639">
        <f t="shared" si="4"/>
        <v>0</v>
      </c>
      <c r="T41" s="766">
        <f t="shared" si="7"/>
        <v>0</v>
      </c>
    </row>
    <row r="42" spans="1:20" ht="31.5">
      <c r="A42" s="536">
        <v>25</v>
      </c>
      <c r="B42" s="546">
        <v>7000018791</v>
      </c>
      <c r="C42" s="546">
        <v>250</v>
      </c>
      <c r="D42" s="546" t="s">
        <v>551</v>
      </c>
      <c r="E42" s="546">
        <v>1000010014</v>
      </c>
      <c r="F42" s="546">
        <v>85176210</v>
      </c>
      <c r="G42" s="534"/>
      <c r="H42" s="546">
        <v>18</v>
      </c>
      <c r="I42" s="535"/>
      <c r="J42" s="538" t="s">
        <v>504</v>
      </c>
      <c r="K42" s="546" t="s">
        <v>301</v>
      </c>
      <c r="L42" s="546">
        <v>2</v>
      </c>
      <c r="M42" s="547"/>
      <c r="N42" s="548" t="str">
        <f t="shared" si="0"/>
        <v>INCLUDED</v>
      </c>
      <c r="O42" s="634">
        <f t="shared" si="1"/>
        <v>0</v>
      </c>
      <c r="P42" s="634">
        <f t="shared" si="2"/>
        <v>0</v>
      </c>
      <c r="Q42" s="639">
        <f>Discount!$H$36</f>
        <v>0</v>
      </c>
      <c r="R42" s="639">
        <f t="shared" si="3"/>
        <v>0</v>
      </c>
      <c r="S42" s="639">
        <f t="shared" si="4"/>
        <v>0</v>
      </c>
      <c r="T42" s="766">
        <f t="shared" si="7"/>
        <v>0</v>
      </c>
    </row>
    <row r="43" spans="1:20" ht="31.5">
      <c r="A43" s="459">
        <v>26</v>
      </c>
      <c r="B43" s="546">
        <v>7000018791</v>
      </c>
      <c r="C43" s="546">
        <v>260</v>
      </c>
      <c r="D43" s="546" t="s">
        <v>551</v>
      </c>
      <c r="E43" s="546">
        <v>1000004289</v>
      </c>
      <c r="F43" s="546">
        <v>85176210</v>
      </c>
      <c r="G43" s="534"/>
      <c r="H43" s="546">
        <v>18</v>
      </c>
      <c r="I43" s="535"/>
      <c r="J43" s="538" t="s">
        <v>584</v>
      </c>
      <c r="K43" s="546" t="s">
        <v>300</v>
      </c>
      <c r="L43" s="546">
        <v>4</v>
      </c>
      <c r="M43" s="547"/>
      <c r="N43" s="548" t="str">
        <f t="shared" si="0"/>
        <v>INCLUDED</v>
      </c>
      <c r="O43" s="634">
        <f t="shared" si="1"/>
        <v>0</v>
      </c>
      <c r="P43" s="634">
        <f t="shared" si="2"/>
        <v>0</v>
      </c>
      <c r="Q43" s="639">
        <f>Discount!$H$36</f>
        <v>0</v>
      </c>
      <c r="R43" s="639">
        <f t="shared" si="3"/>
        <v>0</v>
      </c>
      <c r="S43" s="639">
        <f t="shared" si="4"/>
        <v>0</v>
      </c>
      <c r="T43" s="766">
        <f t="shared" si="7"/>
        <v>0</v>
      </c>
    </row>
    <row r="44" spans="1:20" ht="31.5">
      <c r="A44" s="536">
        <v>27</v>
      </c>
      <c r="B44" s="546">
        <v>7000018791</v>
      </c>
      <c r="C44" s="546">
        <v>270</v>
      </c>
      <c r="D44" s="546" t="s">
        <v>552</v>
      </c>
      <c r="E44" s="546">
        <v>1000000443</v>
      </c>
      <c r="F44" s="546">
        <v>85446020</v>
      </c>
      <c r="G44" s="534"/>
      <c r="H44" s="546">
        <v>18</v>
      </c>
      <c r="I44" s="535"/>
      <c r="J44" s="538" t="s">
        <v>480</v>
      </c>
      <c r="K44" s="546" t="s">
        <v>479</v>
      </c>
      <c r="L44" s="546">
        <v>1</v>
      </c>
      <c r="M44" s="547"/>
      <c r="N44" s="548" t="str">
        <f t="shared" si="0"/>
        <v>INCLUDED</v>
      </c>
      <c r="O44" s="634">
        <f t="shared" si="1"/>
        <v>0</v>
      </c>
      <c r="P44" s="634">
        <f t="shared" si="2"/>
        <v>0</v>
      </c>
      <c r="Q44" s="639">
        <f>Discount!$H$36</f>
        <v>0</v>
      </c>
      <c r="R44" s="639">
        <f t="shared" si="3"/>
        <v>0</v>
      </c>
      <c r="S44" s="639">
        <f t="shared" si="4"/>
        <v>0</v>
      </c>
      <c r="T44" s="766">
        <f t="shared" si="7"/>
        <v>0</v>
      </c>
    </row>
    <row r="45" spans="1:20" ht="31.5">
      <c r="A45" s="459">
        <v>28</v>
      </c>
      <c r="B45" s="546">
        <v>7000018791</v>
      </c>
      <c r="C45" s="546">
        <v>280</v>
      </c>
      <c r="D45" s="546" t="s">
        <v>552</v>
      </c>
      <c r="E45" s="546">
        <v>1000000442</v>
      </c>
      <c r="F45" s="546">
        <v>85446020</v>
      </c>
      <c r="G45" s="534"/>
      <c r="H45" s="546">
        <v>18</v>
      </c>
      <c r="I45" s="535"/>
      <c r="J45" s="538" t="s">
        <v>481</v>
      </c>
      <c r="K45" s="546" t="s">
        <v>479</v>
      </c>
      <c r="L45" s="546">
        <v>1</v>
      </c>
      <c r="M45" s="547"/>
      <c r="N45" s="548" t="str">
        <f t="shared" si="0"/>
        <v>INCLUDED</v>
      </c>
      <c r="O45" s="634">
        <f t="shared" si="1"/>
        <v>0</v>
      </c>
      <c r="P45" s="634">
        <f t="shared" si="2"/>
        <v>0</v>
      </c>
      <c r="Q45" s="639">
        <f>Discount!$H$36</f>
        <v>0</v>
      </c>
      <c r="R45" s="639">
        <f t="shared" si="3"/>
        <v>0</v>
      </c>
      <c r="S45" s="639">
        <f t="shared" si="4"/>
        <v>0</v>
      </c>
      <c r="T45" s="766">
        <f t="shared" si="7"/>
        <v>0</v>
      </c>
    </row>
    <row r="46" spans="1:20" ht="31.5">
      <c r="A46" s="536">
        <v>29</v>
      </c>
      <c r="B46" s="546">
        <v>7000018791</v>
      </c>
      <c r="C46" s="546">
        <v>290</v>
      </c>
      <c r="D46" s="546" t="s">
        <v>553</v>
      </c>
      <c r="E46" s="546">
        <v>1000012025</v>
      </c>
      <c r="F46" s="546">
        <v>84241000</v>
      </c>
      <c r="G46" s="534"/>
      <c r="H46" s="546">
        <v>18</v>
      </c>
      <c r="I46" s="535"/>
      <c r="J46" s="538" t="s">
        <v>585</v>
      </c>
      <c r="K46" s="546" t="s">
        <v>300</v>
      </c>
      <c r="L46" s="546">
        <v>1</v>
      </c>
      <c r="M46" s="547"/>
      <c r="N46" s="548" t="str">
        <f t="shared" si="0"/>
        <v>INCLUDED</v>
      </c>
      <c r="O46" s="634">
        <f t="shared" si="1"/>
        <v>0</v>
      </c>
      <c r="P46" s="634">
        <f t="shared" si="2"/>
        <v>0</v>
      </c>
      <c r="Q46" s="639">
        <f>Discount!$H$36</f>
        <v>0</v>
      </c>
      <c r="R46" s="639">
        <f t="shared" si="3"/>
        <v>0</v>
      </c>
      <c r="S46" s="639">
        <f t="shared" si="4"/>
        <v>0</v>
      </c>
      <c r="T46" s="766">
        <f t="shared" si="7"/>
        <v>0</v>
      </c>
    </row>
    <row r="47" spans="1:20" ht="31.5">
      <c r="A47" s="459">
        <v>30</v>
      </c>
      <c r="B47" s="546">
        <v>7000018791</v>
      </c>
      <c r="C47" s="546">
        <v>300</v>
      </c>
      <c r="D47" s="546" t="s">
        <v>553</v>
      </c>
      <c r="E47" s="546">
        <v>1000012023</v>
      </c>
      <c r="F47" s="546">
        <v>84241000</v>
      </c>
      <c r="G47" s="534"/>
      <c r="H47" s="546">
        <v>18</v>
      </c>
      <c r="I47" s="535"/>
      <c r="J47" s="538" t="s">
        <v>586</v>
      </c>
      <c r="K47" s="546" t="s">
        <v>300</v>
      </c>
      <c r="L47" s="546">
        <v>2</v>
      </c>
      <c r="M47" s="547"/>
      <c r="N47" s="548" t="str">
        <f t="shared" si="0"/>
        <v>INCLUDED</v>
      </c>
      <c r="O47" s="634">
        <f t="shared" si="1"/>
        <v>0</v>
      </c>
      <c r="P47" s="634">
        <f t="shared" si="2"/>
        <v>0</v>
      </c>
      <c r="Q47" s="639">
        <f>Discount!$H$36</f>
        <v>0</v>
      </c>
      <c r="R47" s="639">
        <f t="shared" si="3"/>
        <v>0</v>
      </c>
      <c r="S47" s="639">
        <f t="shared" si="4"/>
        <v>0</v>
      </c>
      <c r="T47" s="766">
        <f t="shared" si="7"/>
        <v>0</v>
      </c>
    </row>
    <row r="48" spans="1:20" ht="31.5">
      <c r="A48" s="536">
        <v>31</v>
      </c>
      <c r="B48" s="546">
        <v>7000018791</v>
      </c>
      <c r="C48" s="546">
        <v>310</v>
      </c>
      <c r="D48" s="546" t="s">
        <v>554</v>
      </c>
      <c r="E48" s="546">
        <v>1000038325</v>
      </c>
      <c r="F48" s="546">
        <v>94059900</v>
      </c>
      <c r="G48" s="534"/>
      <c r="H48" s="546">
        <v>18</v>
      </c>
      <c r="I48" s="535"/>
      <c r="J48" s="538" t="s">
        <v>587</v>
      </c>
      <c r="K48" s="546" t="s">
        <v>300</v>
      </c>
      <c r="L48" s="546">
        <v>8</v>
      </c>
      <c r="M48" s="547"/>
      <c r="N48" s="548" t="str">
        <f t="shared" si="0"/>
        <v>INCLUDED</v>
      </c>
      <c r="O48" s="634">
        <f t="shared" si="1"/>
        <v>0</v>
      </c>
      <c r="P48" s="634">
        <f t="shared" si="2"/>
        <v>0</v>
      </c>
      <c r="Q48" s="639">
        <f>Discount!$H$36</f>
        <v>0</v>
      </c>
      <c r="R48" s="639">
        <f t="shared" si="3"/>
        <v>0</v>
      </c>
      <c r="S48" s="639">
        <f t="shared" si="4"/>
        <v>0</v>
      </c>
      <c r="T48" s="766">
        <f t="shared" si="7"/>
        <v>0</v>
      </c>
    </row>
    <row r="49" spans="1:20" ht="31.5">
      <c r="A49" s="459">
        <v>32</v>
      </c>
      <c r="B49" s="546">
        <v>7000018791</v>
      </c>
      <c r="C49" s="546">
        <v>320</v>
      </c>
      <c r="D49" s="546" t="s">
        <v>554</v>
      </c>
      <c r="E49" s="546">
        <v>1000020262</v>
      </c>
      <c r="F49" s="546">
        <v>85371000</v>
      </c>
      <c r="G49" s="534"/>
      <c r="H49" s="546">
        <v>18</v>
      </c>
      <c r="I49" s="535"/>
      <c r="J49" s="538" t="s">
        <v>478</v>
      </c>
      <c r="K49" s="546" t="s">
        <v>300</v>
      </c>
      <c r="L49" s="546">
        <v>2</v>
      </c>
      <c r="M49" s="547"/>
      <c r="N49" s="548" t="str">
        <f t="shared" si="0"/>
        <v>INCLUDED</v>
      </c>
      <c r="O49" s="634">
        <f t="shared" si="1"/>
        <v>0</v>
      </c>
      <c r="P49" s="634">
        <f t="shared" si="2"/>
        <v>0</v>
      </c>
      <c r="Q49" s="639">
        <f>Discount!$H$36</f>
        <v>0</v>
      </c>
      <c r="R49" s="639">
        <f t="shared" si="3"/>
        <v>0</v>
      </c>
      <c r="S49" s="639">
        <f t="shared" si="4"/>
        <v>0</v>
      </c>
      <c r="T49" s="766">
        <f t="shared" si="7"/>
        <v>0</v>
      </c>
    </row>
    <row r="50" spans="1:20" ht="31.5">
      <c r="A50" s="536">
        <v>33</v>
      </c>
      <c r="B50" s="546">
        <v>7000018791</v>
      </c>
      <c r="C50" s="546">
        <v>330</v>
      </c>
      <c r="D50" s="546" t="s">
        <v>554</v>
      </c>
      <c r="E50" s="546">
        <v>1000038387</v>
      </c>
      <c r="F50" s="546">
        <v>94051090</v>
      </c>
      <c r="G50" s="534"/>
      <c r="H50" s="546">
        <v>18</v>
      </c>
      <c r="I50" s="535"/>
      <c r="J50" s="538" t="s">
        <v>588</v>
      </c>
      <c r="K50" s="546" t="s">
        <v>300</v>
      </c>
      <c r="L50" s="546">
        <v>4</v>
      </c>
      <c r="M50" s="547"/>
      <c r="N50" s="548" t="str">
        <f t="shared" si="0"/>
        <v>INCLUDED</v>
      </c>
      <c r="O50" s="634">
        <f t="shared" si="1"/>
        <v>0</v>
      </c>
      <c r="P50" s="634">
        <f t="shared" si="2"/>
        <v>0</v>
      </c>
      <c r="Q50" s="639">
        <f>Discount!$H$36</f>
        <v>0</v>
      </c>
      <c r="R50" s="639">
        <f t="shared" si="3"/>
        <v>0</v>
      </c>
      <c r="S50" s="639">
        <f t="shared" si="4"/>
        <v>0</v>
      </c>
      <c r="T50" s="766">
        <f t="shared" si="7"/>
        <v>0</v>
      </c>
    </row>
    <row r="51" spans="1:20" ht="47.25">
      <c r="A51" s="459">
        <v>34</v>
      </c>
      <c r="B51" s="546">
        <v>7000018791</v>
      </c>
      <c r="C51" s="546">
        <v>340</v>
      </c>
      <c r="D51" s="546" t="s">
        <v>555</v>
      </c>
      <c r="E51" s="546">
        <v>1000020123</v>
      </c>
      <c r="F51" s="546">
        <v>73082011</v>
      </c>
      <c r="G51" s="534"/>
      <c r="H51" s="546">
        <v>18</v>
      </c>
      <c r="I51" s="535"/>
      <c r="J51" s="538" t="s">
        <v>589</v>
      </c>
      <c r="K51" s="546" t="s">
        <v>300</v>
      </c>
      <c r="L51" s="546">
        <v>2</v>
      </c>
      <c r="M51" s="547"/>
      <c r="N51" s="548" t="str">
        <f t="shared" si="0"/>
        <v>INCLUDED</v>
      </c>
      <c r="O51" s="634">
        <f t="shared" si="1"/>
        <v>0</v>
      </c>
      <c r="P51" s="634">
        <f t="shared" si="2"/>
        <v>0</v>
      </c>
      <c r="Q51" s="639">
        <f>Discount!$H$36</f>
        <v>0</v>
      </c>
      <c r="R51" s="639">
        <f t="shared" si="3"/>
        <v>0</v>
      </c>
      <c r="S51" s="639">
        <f t="shared" si="4"/>
        <v>0</v>
      </c>
      <c r="T51" s="766">
        <f t="shared" si="7"/>
        <v>0</v>
      </c>
    </row>
    <row r="52" spans="1:20" ht="47.25">
      <c r="A52" s="536">
        <v>35</v>
      </c>
      <c r="B52" s="546">
        <v>7000018791</v>
      </c>
      <c r="C52" s="546">
        <v>350</v>
      </c>
      <c r="D52" s="546" t="s">
        <v>555</v>
      </c>
      <c r="E52" s="546">
        <v>1000020124</v>
      </c>
      <c r="F52" s="546">
        <v>73082011</v>
      </c>
      <c r="G52" s="534"/>
      <c r="H52" s="546">
        <v>18</v>
      </c>
      <c r="I52" s="535"/>
      <c r="J52" s="538" t="s">
        <v>590</v>
      </c>
      <c r="K52" s="546" t="s">
        <v>300</v>
      </c>
      <c r="L52" s="546">
        <v>1</v>
      </c>
      <c r="M52" s="547"/>
      <c r="N52" s="548" t="str">
        <f t="shared" si="0"/>
        <v>INCLUDED</v>
      </c>
      <c r="O52" s="634">
        <f t="shared" si="1"/>
        <v>0</v>
      </c>
      <c r="P52" s="634">
        <f t="shared" si="2"/>
        <v>0</v>
      </c>
      <c r="Q52" s="639">
        <f>Discount!$H$36</f>
        <v>0</v>
      </c>
      <c r="R52" s="639">
        <f t="shared" si="3"/>
        <v>0</v>
      </c>
      <c r="S52" s="639">
        <f t="shared" si="4"/>
        <v>0</v>
      </c>
      <c r="T52" s="766">
        <f t="shared" si="7"/>
        <v>0</v>
      </c>
    </row>
    <row r="53" spans="1:20" s="775" customFormat="1" ht="47.25">
      <c r="A53" s="459">
        <v>36</v>
      </c>
      <c r="B53" s="771">
        <v>7000018791</v>
      </c>
      <c r="C53" s="771">
        <v>360</v>
      </c>
      <c r="D53" s="771" t="s">
        <v>555</v>
      </c>
      <c r="E53" s="771">
        <v>1000020118</v>
      </c>
      <c r="F53" s="771">
        <v>73082011</v>
      </c>
      <c r="G53" s="534"/>
      <c r="H53" s="546">
        <v>18</v>
      </c>
      <c r="I53" s="772"/>
      <c r="J53" s="773" t="s">
        <v>591</v>
      </c>
      <c r="K53" s="771" t="s">
        <v>300</v>
      </c>
      <c r="L53" s="546">
        <v>2</v>
      </c>
      <c r="M53" s="547"/>
      <c r="N53" s="548" t="str">
        <f t="shared" si="0"/>
        <v>INCLUDED</v>
      </c>
      <c r="O53" s="634">
        <f t="shared" si="1"/>
        <v>0</v>
      </c>
      <c r="P53" s="634">
        <f t="shared" si="2"/>
        <v>0</v>
      </c>
      <c r="Q53" s="639">
        <f>Discount!$H$36</f>
        <v>0</v>
      </c>
      <c r="R53" s="639">
        <f t="shared" si="3"/>
        <v>0</v>
      </c>
      <c r="S53" s="639">
        <f t="shared" si="4"/>
        <v>0</v>
      </c>
      <c r="T53" s="774">
        <f t="shared" si="7"/>
        <v>0</v>
      </c>
    </row>
    <row r="54" spans="1:20" ht="31.5">
      <c r="A54" s="536">
        <v>37</v>
      </c>
      <c r="B54" s="546">
        <v>7000018791</v>
      </c>
      <c r="C54" s="546">
        <v>370</v>
      </c>
      <c r="D54" s="546" t="s">
        <v>556</v>
      </c>
      <c r="E54" s="546">
        <v>1000017567</v>
      </c>
      <c r="F54" s="546">
        <v>73045930</v>
      </c>
      <c r="G54" s="534"/>
      <c r="H54" s="546">
        <v>18</v>
      </c>
      <c r="I54" s="535"/>
      <c r="J54" s="538" t="s">
        <v>592</v>
      </c>
      <c r="K54" s="546" t="s">
        <v>300</v>
      </c>
      <c r="L54" s="546">
        <v>40</v>
      </c>
      <c r="M54" s="547"/>
      <c r="N54" s="548" t="str">
        <f t="shared" si="0"/>
        <v>INCLUDED</v>
      </c>
      <c r="O54" s="634">
        <f t="shared" si="1"/>
        <v>0</v>
      </c>
      <c r="P54" s="634">
        <f t="shared" si="2"/>
        <v>0</v>
      </c>
      <c r="Q54" s="639">
        <f>Discount!$H$36</f>
        <v>0</v>
      </c>
      <c r="R54" s="639">
        <f t="shared" si="3"/>
        <v>0</v>
      </c>
      <c r="S54" s="639">
        <f t="shared" si="4"/>
        <v>0</v>
      </c>
      <c r="T54" s="766">
        <f t="shared" si="7"/>
        <v>0</v>
      </c>
    </row>
    <row r="55" spans="1:20" ht="47.25">
      <c r="A55" s="459">
        <v>38</v>
      </c>
      <c r="B55" s="546">
        <v>7000018791</v>
      </c>
      <c r="C55" s="546">
        <v>380</v>
      </c>
      <c r="D55" s="546" t="s">
        <v>556</v>
      </c>
      <c r="E55" s="546">
        <v>1000020193</v>
      </c>
      <c r="F55" s="546">
        <v>73045930</v>
      </c>
      <c r="G55" s="534"/>
      <c r="H55" s="546">
        <v>18</v>
      </c>
      <c r="I55" s="535"/>
      <c r="J55" s="538" t="s">
        <v>593</v>
      </c>
      <c r="K55" s="546" t="s">
        <v>300</v>
      </c>
      <c r="L55" s="546">
        <v>6</v>
      </c>
      <c r="M55" s="547"/>
      <c r="N55" s="548" t="str">
        <f t="shared" si="0"/>
        <v>INCLUDED</v>
      </c>
      <c r="O55" s="634">
        <f t="shared" si="1"/>
        <v>0</v>
      </c>
      <c r="P55" s="634">
        <f t="shared" si="2"/>
        <v>0</v>
      </c>
      <c r="Q55" s="639">
        <f>Discount!$H$36</f>
        <v>0</v>
      </c>
      <c r="R55" s="639">
        <f t="shared" si="3"/>
        <v>0</v>
      </c>
      <c r="S55" s="639">
        <f t="shared" si="4"/>
        <v>0</v>
      </c>
      <c r="T55" s="766">
        <f t="shared" si="7"/>
        <v>0</v>
      </c>
    </row>
    <row r="56" spans="1:20" ht="47.25">
      <c r="A56" s="536">
        <v>39</v>
      </c>
      <c r="B56" s="546">
        <v>7000018791</v>
      </c>
      <c r="C56" s="546">
        <v>390</v>
      </c>
      <c r="D56" s="546" t="s">
        <v>556</v>
      </c>
      <c r="E56" s="546">
        <v>1000020195</v>
      </c>
      <c r="F56" s="546">
        <v>73045930</v>
      </c>
      <c r="G56" s="534"/>
      <c r="H56" s="546">
        <v>18</v>
      </c>
      <c r="I56" s="535"/>
      <c r="J56" s="538" t="s">
        <v>594</v>
      </c>
      <c r="K56" s="546" t="s">
        <v>300</v>
      </c>
      <c r="L56" s="546">
        <v>6</v>
      </c>
      <c r="M56" s="547"/>
      <c r="N56" s="548" t="str">
        <f t="shared" si="0"/>
        <v>INCLUDED</v>
      </c>
      <c r="O56" s="634">
        <f t="shared" si="1"/>
        <v>0</v>
      </c>
      <c r="P56" s="634">
        <f t="shared" si="2"/>
        <v>0</v>
      </c>
      <c r="Q56" s="639">
        <f>Discount!$H$36</f>
        <v>0</v>
      </c>
      <c r="R56" s="639">
        <f t="shared" si="3"/>
        <v>0</v>
      </c>
      <c r="S56" s="639">
        <f t="shared" si="4"/>
        <v>0</v>
      </c>
      <c r="T56" s="766">
        <f t="shared" si="7"/>
        <v>0</v>
      </c>
    </row>
    <row r="57" spans="1:20" ht="31.5">
      <c r="A57" s="459">
        <v>40</v>
      </c>
      <c r="B57" s="546">
        <v>7000018791</v>
      </c>
      <c r="C57" s="546">
        <v>400</v>
      </c>
      <c r="D57" s="546" t="s">
        <v>556</v>
      </c>
      <c r="E57" s="546">
        <v>1000017568</v>
      </c>
      <c r="F57" s="546">
        <v>73045930</v>
      </c>
      <c r="G57" s="534"/>
      <c r="H57" s="546">
        <v>18</v>
      </c>
      <c r="I57" s="535"/>
      <c r="J57" s="538" t="s">
        <v>595</v>
      </c>
      <c r="K57" s="546" t="s">
        <v>300</v>
      </c>
      <c r="L57" s="546">
        <v>4</v>
      </c>
      <c r="M57" s="547"/>
      <c r="N57" s="548" t="str">
        <f t="shared" si="0"/>
        <v>INCLUDED</v>
      </c>
      <c r="O57" s="634">
        <f t="shared" si="1"/>
        <v>0</v>
      </c>
      <c r="P57" s="634">
        <f t="shared" si="2"/>
        <v>0</v>
      </c>
      <c r="Q57" s="639">
        <f>Discount!$H$36</f>
        <v>0</v>
      </c>
      <c r="R57" s="639">
        <f t="shared" si="3"/>
        <v>0</v>
      </c>
      <c r="S57" s="639">
        <f t="shared" si="4"/>
        <v>0</v>
      </c>
      <c r="T57" s="766">
        <f t="shared" si="7"/>
        <v>0</v>
      </c>
    </row>
    <row r="58" spans="1:20" ht="31.5">
      <c r="A58" s="536">
        <v>41</v>
      </c>
      <c r="B58" s="546">
        <v>7000018791</v>
      </c>
      <c r="C58" s="546">
        <v>520</v>
      </c>
      <c r="D58" s="546" t="s">
        <v>557</v>
      </c>
      <c r="E58" s="546">
        <v>1000024186</v>
      </c>
      <c r="F58" s="546">
        <v>85354010</v>
      </c>
      <c r="G58" s="534"/>
      <c r="H58" s="546">
        <v>18</v>
      </c>
      <c r="I58" s="535"/>
      <c r="J58" s="538" t="s">
        <v>596</v>
      </c>
      <c r="K58" s="546" t="s">
        <v>479</v>
      </c>
      <c r="L58" s="546">
        <v>1</v>
      </c>
      <c r="M58" s="547"/>
      <c r="N58" s="548" t="str">
        <f t="shared" si="0"/>
        <v>INCLUDED</v>
      </c>
      <c r="O58" s="634">
        <f t="shared" si="1"/>
        <v>0</v>
      </c>
      <c r="P58" s="634">
        <f t="shared" si="2"/>
        <v>0</v>
      </c>
      <c r="Q58" s="639">
        <f>Discount!$H$36</f>
        <v>0</v>
      </c>
      <c r="R58" s="639">
        <f t="shared" si="3"/>
        <v>0</v>
      </c>
      <c r="S58" s="639">
        <f t="shared" si="4"/>
        <v>0</v>
      </c>
      <c r="T58" s="766">
        <f t="shared" si="7"/>
        <v>0</v>
      </c>
    </row>
    <row r="59" spans="1:20" ht="31.5">
      <c r="A59" s="459">
        <v>42</v>
      </c>
      <c r="B59" s="546">
        <v>7000018791</v>
      </c>
      <c r="C59" s="546">
        <v>530</v>
      </c>
      <c r="D59" s="546" t="s">
        <v>557</v>
      </c>
      <c r="E59" s="546">
        <v>1000025949</v>
      </c>
      <c r="F59" s="546">
        <v>85371000</v>
      </c>
      <c r="G59" s="534"/>
      <c r="H59" s="546">
        <v>18</v>
      </c>
      <c r="I59" s="535"/>
      <c r="J59" s="538" t="s">
        <v>597</v>
      </c>
      <c r="K59" s="546" t="s">
        <v>301</v>
      </c>
      <c r="L59" s="546">
        <v>1</v>
      </c>
      <c r="M59" s="547"/>
      <c r="N59" s="548" t="str">
        <f t="shared" si="0"/>
        <v>INCLUDED</v>
      </c>
      <c r="O59" s="634">
        <f t="shared" si="1"/>
        <v>0</v>
      </c>
      <c r="P59" s="634">
        <f t="shared" si="2"/>
        <v>0</v>
      </c>
      <c r="Q59" s="639">
        <f>Discount!$H$36</f>
        <v>0</v>
      </c>
      <c r="R59" s="639">
        <f t="shared" si="3"/>
        <v>0</v>
      </c>
      <c r="S59" s="639">
        <f t="shared" si="4"/>
        <v>0</v>
      </c>
      <c r="T59" s="766">
        <f t="shared" si="7"/>
        <v>0</v>
      </c>
    </row>
    <row r="60" spans="1:20" ht="31.5">
      <c r="A60" s="536">
        <v>43</v>
      </c>
      <c r="B60" s="546">
        <v>7000018791</v>
      </c>
      <c r="C60" s="546">
        <v>540</v>
      </c>
      <c r="D60" s="546" t="s">
        <v>557</v>
      </c>
      <c r="E60" s="546">
        <v>1000025943</v>
      </c>
      <c r="F60" s="546">
        <v>85359090</v>
      </c>
      <c r="G60" s="534"/>
      <c r="H60" s="546">
        <v>18</v>
      </c>
      <c r="I60" s="535"/>
      <c r="J60" s="538" t="s">
        <v>598</v>
      </c>
      <c r="K60" s="546" t="s">
        <v>301</v>
      </c>
      <c r="L60" s="546">
        <v>1</v>
      </c>
      <c r="M60" s="547"/>
      <c r="N60" s="548" t="str">
        <f t="shared" si="0"/>
        <v>INCLUDED</v>
      </c>
      <c r="O60" s="634">
        <f t="shared" si="1"/>
        <v>0</v>
      </c>
      <c r="P60" s="634">
        <f t="shared" si="2"/>
        <v>0</v>
      </c>
      <c r="Q60" s="639">
        <f>Discount!$H$36</f>
        <v>0</v>
      </c>
      <c r="R60" s="639">
        <f t="shared" si="3"/>
        <v>0</v>
      </c>
      <c r="S60" s="639">
        <f t="shared" si="4"/>
        <v>0</v>
      </c>
      <c r="T60" s="766">
        <f t="shared" si="7"/>
        <v>0</v>
      </c>
    </row>
    <row r="61" spans="1:20" ht="31.5">
      <c r="A61" s="459">
        <v>44</v>
      </c>
      <c r="B61" s="546">
        <v>7000018791</v>
      </c>
      <c r="C61" s="546">
        <v>550</v>
      </c>
      <c r="D61" s="546" t="s">
        <v>557</v>
      </c>
      <c r="E61" s="546">
        <v>1000025950</v>
      </c>
      <c r="F61" s="546">
        <v>85176210</v>
      </c>
      <c r="G61" s="534"/>
      <c r="H61" s="546">
        <v>18</v>
      </c>
      <c r="I61" s="535"/>
      <c r="J61" s="538" t="s">
        <v>599</v>
      </c>
      <c r="K61" s="546" t="s">
        <v>301</v>
      </c>
      <c r="L61" s="546">
        <v>1</v>
      </c>
      <c r="M61" s="547"/>
      <c r="N61" s="548" t="str">
        <f t="shared" si="0"/>
        <v>INCLUDED</v>
      </c>
      <c r="O61" s="634">
        <f t="shared" si="1"/>
        <v>0</v>
      </c>
      <c r="P61" s="634">
        <f t="shared" si="2"/>
        <v>0</v>
      </c>
      <c r="Q61" s="639">
        <f>Discount!$H$36</f>
        <v>0</v>
      </c>
      <c r="R61" s="639">
        <f t="shared" si="3"/>
        <v>0</v>
      </c>
      <c r="S61" s="639">
        <f t="shared" si="4"/>
        <v>0</v>
      </c>
      <c r="T61" s="766">
        <f t="shared" si="7"/>
        <v>0</v>
      </c>
    </row>
    <row r="62" spans="1:20" ht="31.5">
      <c r="A62" s="536">
        <v>45</v>
      </c>
      <c r="B62" s="546">
        <v>7000018791</v>
      </c>
      <c r="C62" s="546">
        <v>560</v>
      </c>
      <c r="D62" s="546" t="s">
        <v>558</v>
      </c>
      <c r="E62" s="546">
        <v>1000018982</v>
      </c>
      <c r="F62" s="546">
        <v>85389000</v>
      </c>
      <c r="G62" s="534"/>
      <c r="H62" s="546">
        <v>18</v>
      </c>
      <c r="I62" s="535"/>
      <c r="J62" s="538" t="s">
        <v>600</v>
      </c>
      <c r="K62" s="546" t="s">
        <v>301</v>
      </c>
      <c r="L62" s="546">
        <v>1</v>
      </c>
      <c r="M62" s="547"/>
      <c r="N62" s="548" t="str">
        <f t="shared" si="0"/>
        <v>INCLUDED</v>
      </c>
      <c r="O62" s="634">
        <f t="shared" si="1"/>
        <v>0</v>
      </c>
      <c r="P62" s="634">
        <f t="shared" si="2"/>
        <v>0</v>
      </c>
      <c r="Q62" s="639">
        <f>Discount!$H$36</f>
        <v>0</v>
      </c>
      <c r="R62" s="639">
        <f t="shared" si="3"/>
        <v>0</v>
      </c>
      <c r="S62" s="639">
        <f t="shared" si="4"/>
        <v>0</v>
      </c>
      <c r="T62" s="766">
        <f t="shared" si="7"/>
        <v>0</v>
      </c>
    </row>
    <row r="63" spans="1:20" ht="31.5">
      <c r="A63" s="459">
        <v>46</v>
      </c>
      <c r="B63" s="546">
        <v>7000018791</v>
      </c>
      <c r="C63" s="546">
        <v>570</v>
      </c>
      <c r="D63" s="546" t="s">
        <v>558</v>
      </c>
      <c r="E63" s="546">
        <v>1000019006</v>
      </c>
      <c r="F63" s="546">
        <v>85389000</v>
      </c>
      <c r="G63" s="534"/>
      <c r="H63" s="546">
        <v>18</v>
      </c>
      <c r="I63" s="535"/>
      <c r="J63" s="538" t="s">
        <v>601</v>
      </c>
      <c r="K63" s="546" t="s">
        <v>301</v>
      </c>
      <c r="L63" s="546">
        <v>2</v>
      </c>
      <c r="M63" s="547"/>
      <c r="N63" s="548" t="str">
        <f t="shared" si="0"/>
        <v>INCLUDED</v>
      </c>
      <c r="O63" s="634">
        <f t="shared" si="1"/>
        <v>0</v>
      </c>
      <c r="P63" s="634">
        <f t="shared" si="2"/>
        <v>0</v>
      </c>
      <c r="Q63" s="639">
        <f>Discount!$H$36</f>
        <v>0</v>
      </c>
      <c r="R63" s="639">
        <f t="shared" si="3"/>
        <v>0</v>
      </c>
      <c r="S63" s="639">
        <f t="shared" si="4"/>
        <v>0</v>
      </c>
      <c r="T63" s="766">
        <f t="shared" si="7"/>
        <v>0</v>
      </c>
    </row>
    <row r="64" spans="1:20" ht="31.5">
      <c r="A64" s="536">
        <v>47</v>
      </c>
      <c r="B64" s="546">
        <v>7000018791</v>
      </c>
      <c r="C64" s="546">
        <v>580</v>
      </c>
      <c r="D64" s="546" t="s">
        <v>558</v>
      </c>
      <c r="E64" s="546">
        <v>1000010010</v>
      </c>
      <c r="F64" s="546">
        <v>85389000</v>
      </c>
      <c r="G64" s="534"/>
      <c r="H64" s="546">
        <v>18</v>
      </c>
      <c r="I64" s="535"/>
      <c r="J64" s="538" t="s">
        <v>602</v>
      </c>
      <c r="K64" s="546" t="s">
        <v>301</v>
      </c>
      <c r="L64" s="546">
        <v>1</v>
      </c>
      <c r="M64" s="547"/>
      <c r="N64" s="548" t="str">
        <f t="shared" si="0"/>
        <v>INCLUDED</v>
      </c>
      <c r="O64" s="634">
        <f t="shared" si="1"/>
        <v>0</v>
      </c>
      <c r="P64" s="634">
        <f t="shared" si="2"/>
        <v>0</v>
      </c>
      <c r="Q64" s="639">
        <f>Discount!$H$36</f>
        <v>0</v>
      </c>
      <c r="R64" s="639">
        <f t="shared" si="3"/>
        <v>0</v>
      </c>
      <c r="S64" s="639">
        <f t="shared" si="4"/>
        <v>0</v>
      </c>
      <c r="T64" s="766">
        <f t="shared" si="7"/>
        <v>0</v>
      </c>
    </row>
    <row r="65" spans="1:20" ht="31.5">
      <c r="A65" s="459">
        <v>48</v>
      </c>
      <c r="B65" s="546">
        <v>7000018791</v>
      </c>
      <c r="C65" s="546">
        <v>590</v>
      </c>
      <c r="D65" s="546" t="s">
        <v>558</v>
      </c>
      <c r="E65" s="546">
        <v>1000013093</v>
      </c>
      <c r="F65" s="546">
        <v>85389000</v>
      </c>
      <c r="G65" s="534"/>
      <c r="H65" s="546">
        <v>18</v>
      </c>
      <c r="I65" s="535"/>
      <c r="J65" s="538" t="s">
        <v>603</v>
      </c>
      <c r="K65" s="546" t="s">
        <v>301</v>
      </c>
      <c r="L65" s="546">
        <v>2</v>
      </c>
      <c r="M65" s="547"/>
      <c r="N65" s="548" t="str">
        <f t="shared" si="0"/>
        <v>INCLUDED</v>
      </c>
      <c r="O65" s="634">
        <f t="shared" si="1"/>
        <v>0</v>
      </c>
      <c r="P65" s="634">
        <f t="shared" si="2"/>
        <v>0</v>
      </c>
      <c r="Q65" s="639">
        <f>Discount!$H$36</f>
        <v>0</v>
      </c>
      <c r="R65" s="639">
        <f t="shared" si="3"/>
        <v>0</v>
      </c>
      <c r="S65" s="639">
        <f t="shared" si="4"/>
        <v>0</v>
      </c>
      <c r="T65" s="766">
        <f t="shared" si="7"/>
        <v>0</v>
      </c>
    </row>
    <row r="66" spans="1:20" ht="31.5">
      <c r="A66" s="536">
        <v>49</v>
      </c>
      <c r="B66" s="546">
        <v>7000018791</v>
      </c>
      <c r="C66" s="546">
        <v>600</v>
      </c>
      <c r="D66" s="546" t="s">
        <v>558</v>
      </c>
      <c r="E66" s="546">
        <v>1000018981</v>
      </c>
      <c r="F66" s="546">
        <v>85389000</v>
      </c>
      <c r="G66" s="534"/>
      <c r="H66" s="546">
        <v>18</v>
      </c>
      <c r="I66" s="535"/>
      <c r="J66" s="538" t="s">
        <v>604</v>
      </c>
      <c r="K66" s="546" t="s">
        <v>301</v>
      </c>
      <c r="L66" s="546">
        <v>1</v>
      </c>
      <c r="M66" s="547"/>
      <c r="N66" s="548" t="str">
        <f t="shared" si="0"/>
        <v>INCLUDED</v>
      </c>
      <c r="O66" s="634">
        <f t="shared" si="1"/>
        <v>0</v>
      </c>
      <c r="P66" s="634">
        <f t="shared" si="2"/>
        <v>0</v>
      </c>
      <c r="Q66" s="639">
        <f>Discount!$H$36</f>
        <v>0</v>
      </c>
      <c r="R66" s="639">
        <f t="shared" si="3"/>
        <v>0</v>
      </c>
      <c r="S66" s="639">
        <f t="shared" si="4"/>
        <v>0</v>
      </c>
      <c r="T66" s="766">
        <f t="shared" si="7"/>
        <v>0</v>
      </c>
    </row>
    <row r="67" spans="1:20" ht="31.5">
      <c r="A67" s="459">
        <v>50</v>
      </c>
      <c r="B67" s="546">
        <v>7000018791</v>
      </c>
      <c r="C67" s="546">
        <v>610</v>
      </c>
      <c r="D67" s="546" t="s">
        <v>558</v>
      </c>
      <c r="E67" s="546">
        <v>1000009686</v>
      </c>
      <c r="F67" s="546">
        <v>85389000</v>
      </c>
      <c r="G67" s="534"/>
      <c r="H67" s="546">
        <v>18</v>
      </c>
      <c r="I67" s="535"/>
      <c r="J67" s="538" t="s">
        <v>605</v>
      </c>
      <c r="K67" s="546" t="s">
        <v>301</v>
      </c>
      <c r="L67" s="546">
        <v>2</v>
      </c>
      <c r="M67" s="547"/>
      <c r="N67" s="548" t="str">
        <f t="shared" si="0"/>
        <v>INCLUDED</v>
      </c>
      <c r="O67" s="634">
        <f t="shared" si="1"/>
        <v>0</v>
      </c>
      <c r="P67" s="634">
        <f t="shared" si="2"/>
        <v>0</v>
      </c>
      <c r="Q67" s="639">
        <f>Discount!$H$36</f>
        <v>0</v>
      </c>
      <c r="R67" s="639">
        <f t="shared" si="3"/>
        <v>0</v>
      </c>
      <c r="S67" s="639">
        <f t="shared" si="4"/>
        <v>0</v>
      </c>
      <c r="T67" s="766">
        <f t="shared" si="7"/>
        <v>0</v>
      </c>
    </row>
    <row r="68" spans="1:20" ht="31.5">
      <c r="A68" s="536">
        <v>51</v>
      </c>
      <c r="B68" s="546">
        <v>7000018791</v>
      </c>
      <c r="C68" s="546">
        <v>620</v>
      </c>
      <c r="D68" s="546" t="s">
        <v>558</v>
      </c>
      <c r="E68" s="546">
        <v>1000014163</v>
      </c>
      <c r="F68" s="546">
        <v>85389000</v>
      </c>
      <c r="G68" s="534"/>
      <c r="H68" s="546">
        <v>18</v>
      </c>
      <c r="I68" s="535"/>
      <c r="J68" s="538" t="s">
        <v>606</v>
      </c>
      <c r="K68" s="546" t="s">
        <v>301</v>
      </c>
      <c r="L68" s="546">
        <v>2</v>
      </c>
      <c r="M68" s="547"/>
      <c r="N68" s="548" t="str">
        <f t="shared" si="0"/>
        <v>INCLUDED</v>
      </c>
      <c r="O68" s="634">
        <f t="shared" si="1"/>
        <v>0</v>
      </c>
      <c r="P68" s="634">
        <f t="shared" si="2"/>
        <v>0</v>
      </c>
      <c r="Q68" s="639">
        <f>Discount!$H$36</f>
        <v>0</v>
      </c>
      <c r="R68" s="639">
        <f t="shared" si="3"/>
        <v>0</v>
      </c>
      <c r="S68" s="639">
        <f t="shared" si="4"/>
        <v>0</v>
      </c>
      <c r="T68" s="766">
        <f t="shared" si="7"/>
        <v>0</v>
      </c>
    </row>
    <row r="69" spans="1:20" ht="31.5">
      <c r="A69" s="459">
        <v>52</v>
      </c>
      <c r="B69" s="546">
        <v>7000018791</v>
      </c>
      <c r="C69" s="546">
        <v>630</v>
      </c>
      <c r="D69" s="546" t="s">
        <v>558</v>
      </c>
      <c r="E69" s="546">
        <v>1000007971</v>
      </c>
      <c r="F69" s="546">
        <v>85389000</v>
      </c>
      <c r="G69" s="534"/>
      <c r="H69" s="546">
        <v>18</v>
      </c>
      <c r="I69" s="535"/>
      <c r="J69" s="538" t="s">
        <v>607</v>
      </c>
      <c r="K69" s="546" t="s">
        <v>300</v>
      </c>
      <c r="L69" s="546">
        <v>3</v>
      </c>
      <c r="M69" s="547"/>
      <c r="N69" s="548" t="str">
        <f t="shared" si="0"/>
        <v>INCLUDED</v>
      </c>
      <c r="O69" s="634">
        <f t="shared" si="1"/>
        <v>0</v>
      </c>
      <c r="P69" s="634">
        <f t="shared" si="2"/>
        <v>0</v>
      </c>
      <c r="Q69" s="639">
        <f>Discount!$H$36</f>
        <v>0</v>
      </c>
      <c r="R69" s="639">
        <f t="shared" si="3"/>
        <v>0</v>
      </c>
      <c r="S69" s="639">
        <f t="shared" si="4"/>
        <v>0</v>
      </c>
      <c r="T69" s="766">
        <f t="shared" si="7"/>
        <v>0</v>
      </c>
    </row>
    <row r="70" spans="1:20" ht="31.5">
      <c r="A70" s="536">
        <v>53</v>
      </c>
      <c r="B70" s="546">
        <v>7000018791</v>
      </c>
      <c r="C70" s="546">
        <v>640</v>
      </c>
      <c r="D70" s="546" t="s">
        <v>558</v>
      </c>
      <c r="E70" s="546">
        <v>1000018984</v>
      </c>
      <c r="F70" s="546">
        <v>85389000</v>
      </c>
      <c r="G70" s="534"/>
      <c r="H70" s="546">
        <v>18</v>
      </c>
      <c r="I70" s="535"/>
      <c r="J70" s="538" t="s">
        <v>608</v>
      </c>
      <c r="K70" s="546" t="s">
        <v>506</v>
      </c>
      <c r="L70" s="546">
        <v>1</v>
      </c>
      <c r="M70" s="547"/>
      <c r="N70" s="548" t="str">
        <f t="shared" si="0"/>
        <v>INCLUDED</v>
      </c>
      <c r="O70" s="634">
        <f t="shared" si="1"/>
        <v>0</v>
      </c>
      <c r="P70" s="634">
        <f t="shared" si="2"/>
        <v>0</v>
      </c>
      <c r="Q70" s="639">
        <f>Discount!$H$36</f>
        <v>0</v>
      </c>
      <c r="R70" s="639">
        <f t="shared" si="3"/>
        <v>0</v>
      </c>
      <c r="S70" s="639">
        <f t="shared" si="4"/>
        <v>0</v>
      </c>
      <c r="T70" s="766">
        <f t="shared" si="7"/>
        <v>0</v>
      </c>
    </row>
    <row r="71" spans="1:20" ht="47.25">
      <c r="A71" s="459">
        <v>54</v>
      </c>
      <c r="B71" s="546">
        <v>7000018791</v>
      </c>
      <c r="C71" s="546">
        <v>650</v>
      </c>
      <c r="D71" s="546" t="s">
        <v>558</v>
      </c>
      <c r="E71" s="546">
        <v>1000045934</v>
      </c>
      <c r="F71" s="546">
        <v>85389000</v>
      </c>
      <c r="G71" s="534"/>
      <c r="H71" s="546">
        <v>18</v>
      </c>
      <c r="I71" s="535"/>
      <c r="J71" s="538" t="s">
        <v>609</v>
      </c>
      <c r="K71" s="546" t="s">
        <v>301</v>
      </c>
      <c r="L71" s="546">
        <v>2</v>
      </c>
      <c r="M71" s="547"/>
      <c r="N71" s="548" t="str">
        <f t="shared" si="0"/>
        <v>INCLUDED</v>
      </c>
      <c r="O71" s="634">
        <f t="shared" si="1"/>
        <v>0</v>
      </c>
      <c r="P71" s="634">
        <f t="shared" si="2"/>
        <v>0</v>
      </c>
      <c r="Q71" s="639">
        <f>Discount!$H$36</f>
        <v>0</v>
      </c>
      <c r="R71" s="639">
        <f t="shared" si="3"/>
        <v>0</v>
      </c>
      <c r="S71" s="639">
        <f t="shared" si="4"/>
        <v>0</v>
      </c>
      <c r="T71" s="766">
        <f t="shared" ref="T71" si="8">M71*L71</f>
        <v>0</v>
      </c>
    </row>
    <row r="72" spans="1:20" ht="31.5">
      <c r="A72" s="536">
        <v>55</v>
      </c>
      <c r="B72" s="546">
        <v>7000018791</v>
      </c>
      <c r="C72" s="546">
        <v>660</v>
      </c>
      <c r="D72" s="546" t="s">
        <v>558</v>
      </c>
      <c r="E72" s="546">
        <v>1000045936</v>
      </c>
      <c r="F72" s="546">
        <v>85389000</v>
      </c>
      <c r="G72" s="534"/>
      <c r="H72" s="546">
        <v>18</v>
      </c>
      <c r="I72" s="535"/>
      <c r="J72" s="538" t="s">
        <v>610</v>
      </c>
      <c r="K72" s="546" t="s">
        <v>301</v>
      </c>
      <c r="L72" s="546">
        <v>1</v>
      </c>
      <c r="M72" s="547"/>
      <c r="N72" s="548" t="str">
        <f t="shared" si="0"/>
        <v>INCLUDED</v>
      </c>
      <c r="O72" s="634">
        <f t="shared" si="1"/>
        <v>0</v>
      </c>
      <c r="P72" s="634">
        <f t="shared" si="2"/>
        <v>0</v>
      </c>
      <c r="Q72" s="639">
        <f>Discount!$H$36</f>
        <v>0</v>
      </c>
      <c r="R72" s="639">
        <f t="shared" si="3"/>
        <v>0</v>
      </c>
      <c r="S72" s="639">
        <f t="shared" si="4"/>
        <v>0</v>
      </c>
      <c r="T72" s="766">
        <f t="shared" si="7"/>
        <v>0</v>
      </c>
    </row>
    <row r="73" spans="1:20" ht="31.5">
      <c r="A73" s="459">
        <v>56</v>
      </c>
      <c r="B73" s="546">
        <v>7000018791</v>
      </c>
      <c r="C73" s="546">
        <v>670</v>
      </c>
      <c r="D73" s="546" t="s">
        <v>558</v>
      </c>
      <c r="E73" s="546">
        <v>1000045937</v>
      </c>
      <c r="F73" s="546">
        <v>85389000</v>
      </c>
      <c r="G73" s="534"/>
      <c r="H73" s="546">
        <v>18</v>
      </c>
      <c r="I73" s="535"/>
      <c r="J73" s="538" t="s">
        <v>611</v>
      </c>
      <c r="K73" s="546" t="s">
        <v>301</v>
      </c>
      <c r="L73" s="546">
        <v>1</v>
      </c>
      <c r="M73" s="547"/>
      <c r="N73" s="548" t="str">
        <f t="shared" si="0"/>
        <v>INCLUDED</v>
      </c>
      <c r="O73" s="634">
        <f t="shared" si="1"/>
        <v>0</v>
      </c>
      <c r="P73" s="634">
        <f t="shared" si="2"/>
        <v>0</v>
      </c>
      <c r="Q73" s="639">
        <f>Discount!$H$36</f>
        <v>0</v>
      </c>
      <c r="R73" s="639">
        <f t="shared" si="3"/>
        <v>0</v>
      </c>
      <c r="S73" s="639">
        <f t="shared" si="4"/>
        <v>0</v>
      </c>
      <c r="T73" s="766">
        <f t="shared" si="7"/>
        <v>0</v>
      </c>
    </row>
    <row r="74" spans="1:20" ht="31.5">
      <c r="A74" s="536">
        <v>57</v>
      </c>
      <c r="B74" s="546">
        <v>7000018791</v>
      </c>
      <c r="C74" s="546">
        <v>680</v>
      </c>
      <c r="D74" s="546" t="s">
        <v>558</v>
      </c>
      <c r="E74" s="546">
        <v>1000045939</v>
      </c>
      <c r="F74" s="546">
        <v>85389000</v>
      </c>
      <c r="G74" s="534"/>
      <c r="H74" s="546">
        <v>18</v>
      </c>
      <c r="I74" s="535"/>
      <c r="J74" s="538" t="s">
        <v>612</v>
      </c>
      <c r="K74" s="546" t="s">
        <v>300</v>
      </c>
      <c r="L74" s="546">
        <v>3</v>
      </c>
      <c r="M74" s="547"/>
      <c r="N74" s="548" t="str">
        <f t="shared" si="0"/>
        <v>INCLUDED</v>
      </c>
      <c r="O74" s="634">
        <f t="shared" si="1"/>
        <v>0</v>
      </c>
      <c r="P74" s="634">
        <f t="shared" si="2"/>
        <v>0</v>
      </c>
      <c r="Q74" s="639">
        <f>Discount!$H$36</f>
        <v>0</v>
      </c>
      <c r="R74" s="639">
        <f t="shared" si="3"/>
        <v>0</v>
      </c>
      <c r="S74" s="639">
        <f t="shared" si="4"/>
        <v>0</v>
      </c>
      <c r="T74" s="766">
        <f t="shared" si="7"/>
        <v>0</v>
      </c>
    </row>
    <row r="75" spans="1:20" ht="31.5">
      <c r="A75" s="459">
        <v>58</v>
      </c>
      <c r="B75" s="546">
        <v>7000018791</v>
      </c>
      <c r="C75" s="546">
        <v>690</v>
      </c>
      <c r="D75" s="546" t="s">
        <v>558</v>
      </c>
      <c r="E75" s="546">
        <v>1000045940</v>
      </c>
      <c r="F75" s="546">
        <v>85389000</v>
      </c>
      <c r="G75" s="534"/>
      <c r="H75" s="546">
        <v>18</v>
      </c>
      <c r="I75" s="535"/>
      <c r="J75" s="538" t="s">
        <v>613</v>
      </c>
      <c r="K75" s="546" t="s">
        <v>301</v>
      </c>
      <c r="L75" s="546">
        <v>1</v>
      </c>
      <c r="M75" s="547"/>
      <c r="N75" s="548" t="str">
        <f t="shared" si="0"/>
        <v>INCLUDED</v>
      </c>
      <c r="O75" s="634">
        <f t="shared" si="1"/>
        <v>0</v>
      </c>
      <c r="P75" s="634">
        <f t="shared" si="2"/>
        <v>0</v>
      </c>
      <c r="Q75" s="639">
        <f>Discount!$H$36</f>
        <v>0</v>
      </c>
      <c r="R75" s="639">
        <f t="shared" si="3"/>
        <v>0</v>
      </c>
      <c r="S75" s="639">
        <f t="shared" si="4"/>
        <v>0</v>
      </c>
      <c r="T75" s="766">
        <f t="shared" si="7"/>
        <v>0</v>
      </c>
    </row>
    <row r="76" spans="1:20" ht="31.5">
      <c r="A76" s="536">
        <v>59</v>
      </c>
      <c r="B76" s="546">
        <v>7000018791</v>
      </c>
      <c r="C76" s="546">
        <v>700</v>
      </c>
      <c r="D76" s="546" t="s">
        <v>558</v>
      </c>
      <c r="E76" s="546">
        <v>1000045941</v>
      </c>
      <c r="F76" s="546">
        <v>85389000</v>
      </c>
      <c r="G76" s="534"/>
      <c r="H76" s="546">
        <v>18</v>
      </c>
      <c r="I76" s="535"/>
      <c r="J76" s="538" t="s">
        <v>614</v>
      </c>
      <c r="K76" s="546" t="s">
        <v>301</v>
      </c>
      <c r="L76" s="546">
        <v>1</v>
      </c>
      <c r="M76" s="547"/>
      <c r="N76" s="548" t="str">
        <f t="shared" si="0"/>
        <v>INCLUDED</v>
      </c>
      <c r="O76" s="634">
        <f t="shared" si="1"/>
        <v>0</v>
      </c>
      <c r="P76" s="634">
        <f t="shared" si="2"/>
        <v>0</v>
      </c>
      <c r="Q76" s="639">
        <f>Discount!$H$36</f>
        <v>0</v>
      </c>
      <c r="R76" s="639">
        <f t="shared" si="3"/>
        <v>0</v>
      </c>
      <c r="S76" s="639">
        <f t="shared" si="4"/>
        <v>0</v>
      </c>
      <c r="T76" s="766">
        <f t="shared" si="7"/>
        <v>0</v>
      </c>
    </row>
    <row r="77" spans="1:20" ht="31.5">
      <c r="A77" s="459">
        <v>60</v>
      </c>
      <c r="B77" s="546">
        <v>7000018791</v>
      </c>
      <c r="C77" s="546">
        <v>710</v>
      </c>
      <c r="D77" s="546" t="s">
        <v>558</v>
      </c>
      <c r="E77" s="546">
        <v>1000045943</v>
      </c>
      <c r="F77" s="546">
        <v>85389000</v>
      </c>
      <c r="G77" s="534"/>
      <c r="H77" s="546">
        <v>18</v>
      </c>
      <c r="I77" s="535"/>
      <c r="J77" s="538" t="s">
        <v>615</v>
      </c>
      <c r="K77" s="546" t="s">
        <v>301</v>
      </c>
      <c r="L77" s="546">
        <v>3</v>
      </c>
      <c r="M77" s="547"/>
      <c r="N77" s="548" t="str">
        <f t="shared" si="0"/>
        <v>INCLUDED</v>
      </c>
      <c r="O77" s="634">
        <f t="shared" si="1"/>
        <v>0</v>
      </c>
      <c r="P77" s="634">
        <f t="shared" si="2"/>
        <v>0</v>
      </c>
      <c r="Q77" s="639">
        <f>Discount!$H$36</f>
        <v>0</v>
      </c>
      <c r="R77" s="639">
        <f t="shared" si="3"/>
        <v>0</v>
      </c>
      <c r="S77" s="639">
        <f t="shared" si="4"/>
        <v>0</v>
      </c>
      <c r="T77" s="766">
        <f t="shared" si="7"/>
        <v>0</v>
      </c>
    </row>
    <row r="78" spans="1:20" ht="31.5">
      <c r="A78" s="536">
        <v>61</v>
      </c>
      <c r="B78" s="546">
        <v>7000018791</v>
      </c>
      <c r="C78" s="546">
        <v>720</v>
      </c>
      <c r="D78" s="546" t="s">
        <v>558</v>
      </c>
      <c r="E78" s="546">
        <v>1000045945</v>
      </c>
      <c r="F78" s="546">
        <v>85389000</v>
      </c>
      <c r="G78" s="534"/>
      <c r="H78" s="546">
        <v>18</v>
      </c>
      <c r="I78" s="535"/>
      <c r="J78" s="538" t="s">
        <v>616</v>
      </c>
      <c r="K78" s="546" t="s">
        <v>300</v>
      </c>
      <c r="L78" s="546">
        <v>3</v>
      </c>
      <c r="M78" s="547"/>
      <c r="N78" s="548" t="str">
        <f t="shared" si="0"/>
        <v>INCLUDED</v>
      </c>
      <c r="O78" s="634">
        <f t="shared" si="1"/>
        <v>0</v>
      </c>
      <c r="P78" s="634">
        <f t="shared" si="2"/>
        <v>0</v>
      </c>
      <c r="Q78" s="639">
        <f>Discount!$H$36</f>
        <v>0</v>
      </c>
      <c r="R78" s="639">
        <f t="shared" si="3"/>
        <v>0</v>
      </c>
      <c r="S78" s="639">
        <f t="shared" si="4"/>
        <v>0</v>
      </c>
      <c r="T78" s="766">
        <f t="shared" si="7"/>
        <v>0</v>
      </c>
    </row>
    <row r="79" spans="1:20" ht="31.5">
      <c r="A79" s="459">
        <v>62</v>
      </c>
      <c r="B79" s="546">
        <v>7000018791</v>
      </c>
      <c r="C79" s="546">
        <v>730</v>
      </c>
      <c r="D79" s="546" t="s">
        <v>558</v>
      </c>
      <c r="E79" s="546">
        <v>1000009208</v>
      </c>
      <c r="F79" s="546">
        <v>85389000</v>
      </c>
      <c r="G79" s="534"/>
      <c r="H79" s="546">
        <v>18</v>
      </c>
      <c r="I79" s="535"/>
      <c r="J79" s="538" t="s">
        <v>617</v>
      </c>
      <c r="K79" s="546" t="s">
        <v>301</v>
      </c>
      <c r="L79" s="546">
        <v>3</v>
      </c>
      <c r="M79" s="547"/>
      <c r="N79" s="548" t="str">
        <f t="shared" si="0"/>
        <v>INCLUDED</v>
      </c>
      <c r="O79" s="634">
        <f t="shared" si="1"/>
        <v>0</v>
      </c>
      <c r="P79" s="634">
        <f t="shared" si="2"/>
        <v>0</v>
      </c>
      <c r="Q79" s="639">
        <f>Discount!$H$36</f>
        <v>0</v>
      </c>
      <c r="R79" s="639">
        <f t="shared" si="3"/>
        <v>0</v>
      </c>
      <c r="S79" s="639">
        <f t="shared" si="4"/>
        <v>0</v>
      </c>
      <c r="T79" s="766">
        <f t="shared" si="7"/>
        <v>0</v>
      </c>
    </row>
    <row r="80" spans="1:20" ht="31.5">
      <c r="A80" s="536">
        <v>63</v>
      </c>
      <c r="B80" s="546">
        <v>7000018791</v>
      </c>
      <c r="C80" s="546">
        <v>740</v>
      </c>
      <c r="D80" s="546" t="s">
        <v>558</v>
      </c>
      <c r="E80" s="546">
        <v>1000018374</v>
      </c>
      <c r="F80" s="546">
        <v>85389000</v>
      </c>
      <c r="G80" s="534"/>
      <c r="H80" s="546">
        <v>18</v>
      </c>
      <c r="I80" s="535"/>
      <c r="J80" s="538" t="s">
        <v>618</v>
      </c>
      <c r="K80" s="546" t="s">
        <v>301</v>
      </c>
      <c r="L80" s="546">
        <v>1</v>
      </c>
      <c r="M80" s="547"/>
      <c r="N80" s="548" t="str">
        <f t="shared" si="0"/>
        <v>INCLUDED</v>
      </c>
      <c r="O80" s="634">
        <f t="shared" si="1"/>
        <v>0</v>
      </c>
      <c r="P80" s="634">
        <f t="shared" si="2"/>
        <v>0</v>
      </c>
      <c r="Q80" s="639">
        <f>Discount!$H$36</f>
        <v>0</v>
      </c>
      <c r="R80" s="639">
        <f t="shared" si="3"/>
        <v>0</v>
      </c>
      <c r="S80" s="639">
        <f t="shared" si="4"/>
        <v>0</v>
      </c>
      <c r="T80" s="766">
        <f t="shared" si="7"/>
        <v>0</v>
      </c>
    </row>
    <row r="81" spans="1:20" ht="31.5">
      <c r="A81" s="459">
        <v>64</v>
      </c>
      <c r="B81" s="546">
        <v>7000018791</v>
      </c>
      <c r="C81" s="546">
        <v>750</v>
      </c>
      <c r="D81" s="546" t="s">
        <v>558</v>
      </c>
      <c r="E81" s="546">
        <v>1000021873</v>
      </c>
      <c r="F81" s="546">
        <v>85389000</v>
      </c>
      <c r="G81" s="534"/>
      <c r="H81" s="546">
        <v>18</v>
      </c>
      <c r="I81" s="535"/>
      <c r="J81" s="538" t="s">
        <v>619</v>
      </c>
      <c r="K81" s="546" t="s">
        <v>301</v>
      </c>
      <c r="L81" s="546">
        <v>3</v>
      </c>
      <c r="M81" s="547"/>
      <c r="N81" s="548" t="str">
        <f t="shared" si="0"/>
        <v>INCLUDED</v>
      </c>
      <c r="O81" s="634">
        <f t="shared" si="1"/>
        <v>0</v>
      </c>
      <c r="P81" s="634">
        <f t="shared" si="2"/>
        <v>0</v>
      </c>
      <c r="Q81" s="639">
        <f>Discount!$H$36</f>
        <v>0</v>
      </c>
      <c r="R81" s="639">
        <f t="shared" si="3"/>
        <v>0</v>
      </c>
      <c r="S81" s="639">
        <f t="shared" si="4"/>
        <v>0</v>
      </c>
      <c r="T81" s="766">
        <f t="shared" si="7"/>
        <v>0</v>
      </c>
    </row>
    <row r="82" spans="1:20" ht="31.5">
      <c r="A82" s="536">
        <v>65</v>
      </c>
      <c r="B82" s="546">
        <v>7000018791</v>
      </c>
      <c r="C82" s="546">
        <v>760</v>
      </c>
      <c r="D82" s="546" t="s">
        <v>558</v>
      </c>
      <c r="E82" s="546">
        <v>1000007067</v>
      </c>
      <c r="F82" s="546">
        <v>85389000</v>
      </c>
      <c r="G82" s="534"/>
      <c r="H82" s="546">
        <v>18</v>
      </c>
      <c r="I82" s="535"/>
      <c r="J82" s="538" t="s">
        <v>620</v>
      </c>
      <c r="K82" s="546" t="s">
        <v>301</v>
      </c>
      <c r="L82" s="546">
        <v>1</v>
      </c>
      <c r="M82" s="547"/>
      <c r="N82" s="548" t="str">
        <f t="shared" si="0"/>
        <v>INCLUDED</v>
      </c>
      <c r="O82" s="634">
        <f t="shared" si="1"/>
        <v>0</v>
      </c>
      <c r="P82" s="634">
        <f t="shared" si="2"/>
        <v>0</v>
      </c>
      <c r="Q82" s="639">
        <f>Discount!$H$36</f>
        <v>0</v>
      </c>
      <c r="R82" s="639">
        <f t="shared" si="3"/>
        <v>0</v>
      </c>
      <c r="S82" s="639">
        <f t="shared" si="4"/>
        <v>0</v>
      </c>
      <c r="T82" s="766">
        <f t="shared" si="7"/>
        <v>0</v>
      </c>
    </row>
    <row r="83" spans="1:20" ht="31.5">
      <c r="A83" s="459">
        <v>66</v>
      </c>
      <c r="B83" s="546">
        <v>7000018791</v>
      </c>
      <c r="C83" s="546">
        <v>770</v>
      </c>
      <c r="D83" s="546" t="s">
        <v>558</v>
      </c>
      <c r="E83" s="546">
        <v>1000004368</v>
      </c>
      <c r="F83" s="546">
        <v>85389000</v>
      </c>
      <c r="G83" s="534"/>
      <c r="H83" s="546">
        <v>18</v>
      </c>
      <c r="I83" s="535"/>
      <c r="J83" s="538" t="s">
        <v>621</v>
      </c>
      <c r="K83" s="546" t="s">
        <v>301</v>
      </c>
      <c r="L83" s="546">
        <v>2</v>
      </c>
      <c r="M83" s="547"/>
      <c r="N83" s="548" t="str">
        <f t="shared" ref="N83:N125" si="9">IF(M83=0, "INCLUDED", IF(ISERROR(M83*L83), M83, M83*L83))</f>
        <v>INCLUDED</v>
      </c>
      <c r="O83" s="634">
        <f t="shared" ref="O83:O125" si="10">IF(N83="Included",0,N83)</f>
        <v>0</v>
      </c>
      <c r="P83" s="634">
        <f t="shared" ref="P83:P125" si="11">IF( I83="",H83*(IF(N83="Included",0,N83))/100,I83*(IF(N83="Included",0,N83)))</f>
        <v>0</v>
      </c>
      <c r="Q83" s="639">
        <f>Discount!$H$36</f>
        <v>0</v>
      </c>
      <c r="R83" s="639">
        <f t="shared" ref="R83:R125" si="12">Q83*O83</f>
        <v>0</v>
      </c>
      <c r="S83" s="639">
        <f t="shared" ref="S83:S125" si="13">IF(I83="",H83*R83/100,I83*R83)</f>
        <v>0</v>
      </c>
      <c r="T83" s="766"/>
    </row>
    <row r="84" spans="1:20" ht="31.5">
      <c r="A84" s="536">
        <v>67</v>
      </c>
      <c r="B84" s="546">
        <v>7000018791</v>
      </c>
      <c r="C84" s="546">
        <v>780</v>
      </c>
      <c r="D84" s="546" t="s">
        <v>558</v>
      </c>
      <c r="E84" s="546">
        <v>1000004364</v>
      </c>
      <c r="F84" s="546">
        <v>85389000</v>
      </c>
      <c r="G84" s="534"/>
      <c r="H84" s="546">
        <v>18</v>
      </c>
      <c r="I84" s="535"/>
      <c r="J84" s="538" t="s">
        <v>622</v>
      </c>
      <c r="K84" s="546" t="s">
        <v>301</v>
      </c>
      <c r="L84" s="546">
        <v>1</v>
      </c>
      <c r="M84" s="547"/>
      <c r="N84" s="548" t="str">
        <f t="shared" si="9"/>
        <v>INCLUDED</v>
      </c>
      <c r="O84" s="634">
        <f t="shared" si="10"/>
        <v>0</v>
      </c>
      <c r="P84" s="634">
        <f t="shared" si="11"/>
        <v>0</v>
      </c>
      <c r="Q84" s="639">
        <f>Discount!$H$36</f>
        <v>0</v>
      </c>
      <c r="R84" s="639">
        <f t="shared" si="12"/>
        <v>0</v>
      </c>
      <c r="S84" s="639">
        <f t="shared" si="13"/>
        <v>0</v>
      </c>
      <c r="T84" s="766"/>
    </row>
    <row r="85" spans="1:20" ht="47.25">
      <c r="A85" s="459">
        <v>68</v>
      </c>
      <c r="B85" s="546">
        <v>7000018791</v>
      </c>
      <c r="C85" s="546">
        <v>790</v>
      </c>
      <c r="D85" s="546" t="s">
        <v>558</v>
      </c>
      <c r="E85" s="546">
        <v>1000009577</v>
      </c>
      <c r="F85" s="546">
        <v>85389000</v>
      </c>
      <c r="G85" s="534"/>
      <c r="H85" s="546">
        <v>18</v>
      </c>
      <c r="I85" s="535"/>
      <c r="J85" s="538" t="s">
        <v>623</v>
      </c>
      <c r="K85" s="546" t="s">
        <v>301</v>
      </c>
      <c r="L85" s="546">
        <v>1</v>
      </c>
      <c r="M85" s="547"/>
      <c r="N85" s="548" t="str">
        <f t="shared" si="9"/>
        <v>INCLUDED</v>
      </c>
      <c r="O85" s="634">
        <f t="shared" si="10"/>
        <v>0</v>
      </c>
      <c r="P85" s="634">
        <f t="shared" si="11"/>
        <v>0</v>
      </c>
      <c r="Q85" s="639">
        <f>Discount!$H$36</f>
        <v>0</v>
      </c>
      <c r="R85" s="639">
        <f t="shared" si="12"/>
        <v>0</v>
      </c>
      <c r="S85" s="639">
        <f t="shared" si="13"/>
        <v>0</v>
      </c>
      <c r="T85" s="766"/>
    </row>
    <row r="86" spans="1:20" ht="31.5">
      <c r="A86" s="536">
        <v>69</v>
      </c>
      <c r="B86" s="546">
        <v>7000018791</v>
      </c>
      <c r="C86" s="546">
        <v>800</v>
      </c>
      <c r="D86" s="546" t="s">
        <v>558</v>
      </c>
      <c r="E86" s="546">
        <v>1000017962</v>
      </c>
      <c r="F86" s="546">
        <v>85389000</v>
      </c>
      <c r="G86" s="534"/>
      <c r="H86" s="546">
        <v>18</v>
      </c>
      <c r="I86" s="535"/>
      <c r="J86" s="538" t="s">
        <v>624</v>
      </c>
      <c r="K86" s="546" t="s">
        <v>301</v>
      </c>
      <c r="L86" s="546">
        <v>1</v>
      </c>
      <c r="M86" s="547"/>
      <c r="N86" s="548" t="str">
        <f t="shared" si="9"/>
        <v>INCLUDED</v>
      </c>
      <c r="O86" s="634">
        <f t="shared" si="10"/>
        <v>0</v>
      </c>
      <c r="P86" s="634">
        <f t="shared" si="11"/>
        <v>0</v>
      </c>
      <c r="Q86" s="639">
        <f>Discount!$H$36</f>
        <v>0</v>
      </c>
      <c r="R86" s="639">
        <f t="shared" si="12"/>
        <v>0</v>
      </c>
      <c r="S86" s="639">
        <f t="shared" si="13"/>
        <v>0</v>
      </c>
      <c r="T86" s="766"/>
    </row>
    <row r="87" spans="1:20" ht="31.5">
      <c r="A87" s="459">
        <v>70</v>
      </c>
      <c r="B87" s="546">
        <v>7000018791</v>
      </c>
      <c r="C87" s="546">
        <v>810</v>
      </c>
      <c r="D87" s="546" t="s">
        <v>558</v>
      </c>
      <c r="E87" s="546">
        <v>1000014587</v>
      </c>
      <c r="F87" s="546">
        <v>85389000</v>
      </c>
      <c r="G87" s="534"/>
      <c r="H87" s="546">
        <v>18</v>
      </c>
      <c r="I87" s="535"/>
      <c r="J87" s="538" t="s">
        <v>625</v>
      </c>
      <c r="K87" s="546" t="s">
        <v>301</v>
      </c>
      <c r="L87" s="546">
        <v>1</v>
      </c>
      <c r="M87" s="547"/>
      <c r="N87" s="548" t="str">
        <f t="shared" si="9"/>
        <v>INCLUDED</v>
      </c>
      <c r="O87" s="634">
        <f t="shared" si="10"/>
        <v>0</v>
      </c>
      <c r="P87" s="634">
        <f t="shared" si="11"/>
        <v>0</v>
      </c>
      <c r="Q87" s="639">
        <f>Discount!$H$36</f>
        <v>0</v>
      </c>
      <c r="R87" s="639">
        <f t="shared" si="12"/>
        <v>0</v>
      </c>
      <c r="S87" s="639">
        <f t="shared" si="13"/>
        <v>0</v>
      </c>
      <c r="T87" s="766"/>
    </row>
    <row r="88" spans="1:20" ht="31.5">
      <c r="A88" s="536">
        <v>71</v>
      </c>
      <c r="B88" s="546">
        <v>7000018791</v>
      </c>
      <c r="C88" s="546">
        <v>820</v>
      </c>
      <c r="D88" s="546" t="s">
        <v>558</v>
      </c>
      <c r="E88" s="546">
        <v>1000014586</v>
      </c>
      <c r="F88" s="546">
        <v>85389000</v>
      </c>
      <c r="G88" s="534"/>
      <c r="H88" s="546">
        <v>18</v>
      </c>
      <c r="I88" s="535"/>
      <c r="J88" s="538" t="s">
        <v>626</v>
      </c>
      <c r="K88" s="546" t="s">
        <v>301</v>
      </c>
      <c r="L88" s="546">
        <v>1</v>
      </c>
      <c r="M88" s="547"/>
      <c r="N88" s="548" t="str">
        <f t="shared" si="9"/>
        <v>INCLUDED</v>
      </c>
      <c r="O88" s="634">
        <f t="shared" si="10"/>
        <v>0</v>
      </c>
      <c r="P88" s="634">
        <f t="shared" si="11"/>
        <v>0</v>
      </c>
      <c r="Q88" s="639">
        <f>Discount!$H$36</f>
        <v>0</v>
      </c>
      <c r="R88" s="639">
        <f t="shared" si="12"/>
        <v>0</v>
      </c>
      <c r="S88" s="639">
        <f t="shared" si="13"/>
        <v>0</v>
      </c>
      <c r="T88" s="766"/>
    </row>
    <row r="89" spans="1:20" ht="31.5">
      <c r="A89" s="459">
        <v>72</v>
      </c>
      <c r="B89" s="546">
        <v>7000018791</v>
      </c>
      <c r="C89" s="546">
        <v>830</v>
      </c>
      <c r="D89" s="546" t="s">
        <v>558</v>
      </c>
      <c r="E89" s="546">
        <v>1000014163</v>
      </c>
      <c r="F89" s="546">
        <v>85389000</v>
      </c>
      <c r="G89" s="534"/>
      <c r="H89" s="546">
        <v>18</v>
      </c>
      <c r="I89" s="535"/>
      <c r="J89" s="538" t="s">
        <v>606</v>
      </c>
      <c r="K89" s="546" t="s">
        <v>301</v>
      </c>
      <c r="L89" s="546">
        <v>1</v>
      </c>
      <c r="M89" s="547"/>
      <c r="N89" s="548" t="str">
        <f t="shared" si="9"/>
        <v>INCLUDED</v>
      </c>
      <c r="O89" s="634">
        <f t="shared" si="10"/>
        <v>0</v>
      </c>
      <c r="P89" s="634">
        <f t="shared" si="11"/>
        <v>0</v>
      </c>
      <c r="Q89" s="639">
        <f>Discount!$H$36</f>
        <v>0</v>
      </c>
      <c r="R89" s="639">
        <f t="shared" si="12"/>
        <v>0</v>
      </c>
      <c r="S89" s="639">
        <f t="shared" si="13"/>
        <v>0</v>
      </c>
      <c r="T89" s="766"/>
    </row>
    <row r="90" spans="1:20" ht="47.25">
      <c r="A90" s="536">
        <v>73</v>
      </c>
      <c r="B90" s="546">
        <v>7000018791</v>
      </c>
      <c r="C90" s="546">
        <v>840</v>
      </c>
      <c r="D90" s="546" t="s">
        <v>558</v>
      </c>
      <c r="E90" s="546">
        <v>1000033117</v>
      </c>
      <c r="F90" s="546">
        <v>85389000</v>
      </c>
      <c r="G90" s="534"/>
      <c r="H90" s="546">
        <v>18</v>
      </c>
      <c r="I90" s="535"/>
      <c r="J90" s="538" t="s">
        <v>627</v>
      </c>
      <c r="K90" s="546" t="s">
        <v>301</v>
      </c>
      <c r="L90" s="546">
        <v>1</v>
      </c>
      <c r="M90" s="547"/>
      <c r="N90" s="548" t="str">
        <f t="shared" si="9"/>
        <v>INCLUDED</v>
      </c>
      <c r="O90" s="634">
        <f t="shared" si="10"/>
        <v>0</v>
      </c>
      <c r="P90" s="634">
        <f t="shared" si="11"/>
        <v>0</v>
      </c>
      <c r="Q90" s="639">
        <f>Discount!$H$36</f>
        <v>0</v>
      </c>
      <c r="R90" s="639">
        <f t="shared" si="12"/>
        <v>0</v>
      </c>
      <c r="S90" s="639">
        <f t="shared" si="13"/>
        <v>0</v>
      </c>
      <c r="T90" s="766"/>
    </row>
    <row r="91" spans="1:20" ht="31.5">
      <c r="A91" s="459">
        <v>74</v>
      </c>
      <c r="B91" s="546">
        <v>7000018791</v>
      </c>
      <c r="C91" s="546">
        <v>850</v>
      </c>
      <c r="D91" s="546" t="s">
        <v>558</v>
      </c>
      <c r="E91" s="546">
        <v>1000029506</v>
      </c>
      <c r="F91" s="546">
        <v>85389000</v>
      </c>
      <c r="G91" s="534"/>
      <c r="H91" s="546">
        <v>18</v>
      </c>
      <c r="I91" s="535"/>
      <c r="J91" s="538" t="s">
        <v>568</v>
      </c>
      <c r="K91" s="546" t="s">
        <v>300</v>
      </c>
      <c r="L91" s="546">
        <v>1</v>
      </c>
      <c r="M91" s="547"/>
      <c r="N91" s="548" t="str">
        <f t="shared" si="9"/>
        <v>INCLUDED</v>
      </c>
      <c r="O91" s="634">
        <f t="shared" si="10"/>
        <v>0</v>
      </c>
      <c r="P91" s="634">
        <f t="shared" si="11"/>
        <v>0</v>
      </c>
      <c r="Q91" s="639">
        <f>Discount!$H$36</f>
        <v>0</v>
      </c>
      <c r="R91" s="639">
        <f t="shared" si="12"/>
        <v>0</v>
      </c>
      <c r="S91" s="639">
        <f t="shared" si="13"/>
        <v>0</v>
      </c>
      <c r="T91" s="766"/>
    </row>
    <row r="92" spans="1:20" ht="47.25">
      <c r="A92" s="536">
        <v>75</v>
      </c>
      <c r="B92" s="546">
        <v>7000018791</v>
      </c>
      <c r="C92" s="546">
        <v>860</v>
      </c>
      <c r="D92" s="546" t="s">
        <v>558</v>
      </c>
      <c r="E92" s="546">
        <v>1000004630</v>
      </c>
      <c r="F92" s="546">
        <v>85389000</v>
      </c>
      <c r="G92" s="534"/>
      <c r="H92" s="546">
        <v>18</v>
      </c>
      <c r="I92" s="535"/>
      <c r="J92" s="538" t="s">
        <v>628</v>
      </c>
      <c r="K92" s="546" t="s">
        <v>300</v>
      </c>
      <c r="L92" s="546">
        <v>1</v>
      </c>
      <c r="M92" s="547"/>
      <c r="N92" s="548" t="str">
        <f t="shared" si="9"/>
        <v>INCLUDED</v>
      </c>
      <c r="O92" s="634">
        <f t="shared" si="10"/>
        <v>0</v>
      </c>
      <c r="P92" s="634">
        <f t="shared" si="11"/>
        <v>0</v>
      </c>
      <c r="Q92" s="639">
        <f>Discount!$H$36</f>
        <v>0</v>
      </c>
      <c r="R92" s="639">
        <f t="shared" si="12"/>
        <v>0</v>
      </c>
      <c r="S92" s="639">
        <f t="shared" si="13"/>
        <v>0</v>
      </c>
      <c r="T92" s="766"/>
    </row>
    <row r="93" spans="1:20" ht="31.5">
      <c r="A93" s="459">
        <v>76</v>
      </c>
      <c r="B93" s="546">
        <v>7000018791</v>
      </c>
      <c r="C93" s="546">
        <v>870</v>
      </c>
      <c r="D93" s="546" t="s">
        <v>558</v>
      </c>
      <c r="E93" s="546">
        <v>1000032798</v>
      </c>
      <c r="F93" s="546">
        <v>85389000</v>
      </c>
      <c r="G93" s="534"/>
      <c r="H93" s="546">
        <v>18</v>
      </c>
      <c r="I93" s="535"/>
      <c r="J93" s="538" t="s">
        <v>571</v>
      </c>
      <c r="K93" s="546" t="s">
        <v>301</v>
      </c>
      <c r="L93" s="546">
        <v>1</v>
      </c>
      <c r="M93" s="547"/>
      <c r="N93" s="548" t="str">
        <f t="shared" si="9"/>
        <v>INCLUDED</v>
      </c>
      <c r="O93" s="634">
        <f t="shared" si="10"/>
        <v>0</v>
      </c>
      <c r="P93" s="634">
        <f t="shared" si="11"/>
        <v>0</v>
      </c>
      <c r="Q93" s="639">
        <f>Discount!$H$36</f>
        <v>0</v>
      </c>
      <c r="R93" s="639">
        <f t="shared" si="12"/>
        <v>0</v>
      </c>
      <c r="S93" s="639">
        <f t="shared" si="13"/>
        <v>0</v>
      </c>
      <c r="T93" s="766"/>
    </row>
    <row r="94" spans="1:20" ht="31.5">
      <c r="A94" s="536">
        <v>77</v>
      </c>
      <c r="B94" s="546">
        <v>7000018791</v>
      </c>
      <c r="C94" s="546">
        <v>880</v>
      </c>
      <c r="D94" s="546" t="s">
        <v>559</v>
      </c>
      <c r="E94" s="546">
        <v>1000036908</v>
      </c>
      <c r="F94" s="546">
        <v>85446020</v>
      </c>
      <c r="G94" s="534"/>
      <c r="H94" s="546">
        <v>18</v>
      </c>
      <c r="I94" s="535"/>
      <c r="J94" s="538" t="s">
        <v>582</v>
      </c>
      <c r="K94" s="546" t="s">
        <v>302</v>
      </c>
      <c r="L94" s="546">
        <v>1</v>
      </c>
      <c r="M94" s="547"/>
      <c r="N94" s="548" t="str">
        <f t="shared" si="9"/>
        <v>INCLUDED</v>
      </c>
      <c r="O94" s="634">
        <f t="shared" si="10"/>
        <v>0</v>
      </c>
      <c r="P94" s="634">
        <f t="shared" si="11"/>
        <v>0</v>
      </c>
      <c r="Q94" s="639">
        <f>Discount!$H$36</f>
        <v>0</v>
      </c>
      <c r="R94" s="639">
        <f t="shared" si="12"/>
        <v>0</v>
      </c>
      <c r="S94" s="639">
        <f t="shared" si="13"/>
        <v>0</v>
      </c>
      <c r="T94" s="766"/>
    </row>
    <row r="95" spans="1:20" ht="31.5">
      <c r="A95" s="459">
        <v>78</v>
      </c>
      <c r="B95" s="546">
        <v>7000018791</v>
      </c>
      <c r="C95" s="546">
        <v>890</v>
      </c>
      <c r="D95" s="546" t="s">
        <v>559</v>
      </c>
      <c r="E95" s="546">
        <v>1000010638</v>
      </c>
      <c r="F95" s="546">
        <v>85176210</v>
      </c>
      <c r="G95" s="534"/>
      <c r="H95" s="546">
        <v>18</v>
      </c>
      <c r="I95" s="535"/>
      <c r="J95" s="538" t="s">
        <v>505</v>
      </c>
      <c r="K95" s="546" t="s">
        <v>300</v>
      </c>
      <c r="L95" s="546">
        <v>2</v>
      </c>
      <c r="M95" s="547"/>
      <c r="N95" s="548" t="str">
        <f t="shared" si="9"/>
        <v>INCLUDED</v>
      </c>
      <c r="O95" s="634">
        <f t="shared" si="10"/>
        <v>0</v>
      </c>
      <c r="P95" s="634">
        <f t="shared" si="11"/>
        <v>0</v>
      </c>
      <c r="Q95" s="639">
        <f>Discount!$H$36</f>
        <v>0</v>
      </c>
      <c r="R95" s="639">
        <f t="shared" si="12"/>
        <v>0</v>
      </c>
      <c r="S95" s="639">
        <f t="shared" si="13"/>
        <v>0</v>
      </c>
      <c r="T95" s="766"/>
    </row>
    <row r="96" spans="1:20" ht="31.5">
      <c r="A96" s="536">
        <v>79</v>
      </c>
      <c r="B96" s="546">
        <v>7000018791</v>
      </c>
      <c r="C96" s="546">
        <v>900</v>
      </c>
      <c r="D96" s="546" t="s">
        <v>559</v>
      </c>
      <c r="E96" s="546">
        <v>1000017887</v>
      </c>
      <c r="F96" s="546">
        <v>85176210</v>
      </c>
      <c r="G96" s="534"/>
      <c r="H96" s="546">
        <v>18</v>
      </c>
      <c r="I96" s="535"/>
      <c r="J96" s="538" t="s">
        <v>583</v>
      </c>
      <c r="K96" s="546" t="s">
        <v>300</v>
      </c>
      <c r="L96" s="546">
        <v>2</v>
      </c>
      <c r="M96" s="547"/>
      <c r="N96" s="548" t="str">
        <f t="shared" si="9"/>
        <v>INCLUDED</v>
      </c>
      <c r="O96" s="634">
        <f t="shared" si="10"/>
        <v>0</v>
      </c>
      <c r="P96" s="634">
        <f t="shared" si="11"/>
        <v>0</v>
      </c>
      <c r="Q96" s="639">
        <f>Discount!$H$36</f>
        <v>0</v>
      </c>
      <c r="R96" s="639">
        <f t="shared" si="12"/>
        <v>0</v>
      </c>
      <c r="S96" s="639">
        <f t="shared" si="13"/>
        <v>0</v>
      </c>
      <c r="T96" s="766"/>
    </row>
    <row r="97" spans="1:20" ht="31.5">
      <c r="A97" s="459">
        <v>80</v>
      </c>
      <c r="B97" s="546">
        <v>7000018791</v>
      </c>
      <c r="C97" s="546">
        <v>910</v>
      </c>
      <c r="D97" s="546" t="s">
        <v>559</v>
      </c>
      <c r="E97" s="546">
        <v>1000000046</v>
      </c>
      <c r="F97" s="546">
        <v>85176210</v>
      </c>
      <c r="G97" s="534"/>
      <c r="H97" s="546">
        <v>18</v>
      </c>
      <c r="I97" s="535"/>
      <c r="J97" s="538" t="s">
        <v>510</v>
      </c>
      <c r="K97" s="546" t="s">
        <v>300</v>
      </c>
      <c r="L97" s="546">
        <v>2</v>
      </c>
      <c r="M97" s="547"/>
      <c r="N97" s="548" t="str">
        <f t="shared" si="9"/>
        <v>INCLUDED</v>
      </c>
      <c r="O97" s="634">
        <f t="shared" si="10"/>
        <v>0</v>
      </c>
      <c r="P97" s="634">
        <f t="shared" si="11"/>
        <v>0</v>
      </c>
      <c r="Q97" s="639">
        <f>Discount!$H$36</f>
        <v>0</v>
      </c>
      <c r="R97" s="639">
        <f t="shared" si="12"/>
        <v>0</v>
      </c>
      <c r="S97" s="639">
        <f t="shared" si="13"/>
        <v>0</v>
      </c>
      <c r="T97" s="766"/>
    </row>
    <row r="98" spans="1:20" ht="31.5">
      <c r="A98" s="536">
        <v>81</v>
      </c>
      <c r="B98" s="546">
        <v>7000018791</v>
      </c>
      <c r="C98" s="546">
        <v>920</v>
      </c>
      <c r="D98" s="546" t="s">
        <v>559</v>
      </c>
      <c r="E98" s="546">
        <v>1000010014</v>
      </c>
      <c r="F98" s="546">
        <v>85176210</v>
      </c>
      <c r="G98" s="534"/>
      <c r="H98" s="546">
        <v>18</v>
      </c>
      <c r="I98" s="535"/>
      <c r="J98" s="538" t="s">
        <v>504</v>
      </c>
      <c r="K98" s="546" t="s">
        <v>301</v>
      </c>
      <c r="L98" s="546">
        <v>2</v>
      </c>
      <c r="M98" s="547"/>
      <c r="N98" s="548" t="str">
        <f t="shared" si="9"/>
        <v>INCLUDED</v>
      </c>
      <c r="O98" s="634">
        <f t="shared" si="10"/>
        <v>0</v>
      </c>
      <c r="P98" s="634">
        <f t="shared" si="11"/>
        <v>0</v>
      </c>
      <c r="Q98" s="639">
        <f>Discount!$H$36</f>
        <v>0</v>
      </c>
      <c r="R98" s="639">
        <f t="shared" si="12"/>
        <v>0</v>
      </c>
      <c r="S98" s="639">
        <f t="shared" si="13"/>
        <v>0</v>
      </c>
      <c r="T98" s="766"/>
    </row>
    <row r="99" spans="1:20">
      <c r="A99" s="459">
        <v>82</v>
      </c>
      <c r="B99" s="546">
        <v>7000018791</v>
      </c>
      <c r="C99" s="546">
        <v>930</v>
      </c>
      <c r="D99" s="546" t="s">
        <v>560</v>
      </c>
      <c r="E99" s="546">
        <v>1000030005</v>
      </c>
      <c r="F99" s="546">
        <v>73082011</v>
      </c>
      <c r="G99" s="534"/>
      <c r="H99" s="546">
        <v>18</v>
      </c>
      <c r="I99" s="535"/>
      <c r="J99" s="538" t="s">
        <v>629</v>
      </c>
      <c r="K99" s="546" t="s">
        <v>300</v>
      </c>
      <c r="L99" s="546">
        <v>1</v>
      </c>
      <c r="M99" s="547"/>
      <c r="N99" s="548" t="str">
        <f t="shared" si="9"/>
        <v>INCLUDED</v>
      </c>
      <c r="O99" s="634">
        <f t="shared" si="10"/>
        <v>0</v>
      </c>
      <c r="P99" s="634">
        <f t="shared" si="11"/>
        <v>0</v>
      </c>
      <c r="Q99" s="639">
        <f>Discount!$H$36</f>
        <v>0</v>
      </c>
      <c r="R99" s="639">
        <f t="shared" si="12"/>
        <v>0</v>
      </c>
      <c r="S99" s="639">
        <f t="shared" si="13"/>
        <v>0</v>
      </c>
      <c r="T99" s="766"/>
    </row>
    <row r="100" spans="1:20">
      <c r="A100" s="536">
        <v>83</v>
      </c>
      <c r="B100" s="546">
        <v>7000018791</v>
      </c>
      <c r="C100" s="546">
        <v>960</v>
      </c>
      <c r="D100" s="546" t="s">
        <v>522</v>
      </c>
      <c r="E100" s="546">
        <v>1000004304</v>
      </c>
      <c r="F100" s="546">
        <v>85371000</v>
      </c>
      <c r="G100" s="534"/>
      <c r="H100" s="546">
        <v>18</v>
      </c>
      <c r="I100" s="535"/>
      <c r="J100" s="538" t="s">
        <v>527</v>
      </c>
      <c r="K100" s="546" t="s">
        <v>301</v>
      </c>
      <c r="L100" s="546">
        <v>1</v>
      </c>
      <c r="M100" s="547"/>
      <c r="N100" s="548" t="str">
        <f t="shared" si="9"/>
        <v>INCLUDED</v>
      </c>
      <c r="O100" s="634">
        <f t="shared" si="10"/>
        <v>0</v>
      </c>
      <c r="P100" s="634">
        <f t="shared" si="11"/>
        <v>0</v>
      </c>
      <c r="Q100" s="639">
        <f>Discount!$H$36</f>
        <v>0</v>
      </c>
      <c r="R100" s="639">
        <f t="shared" si="12"/>
        <v>0</v>
      </c>
      <c r="S100" s="639">
        <f t="shared" si="13"/>
        <v>0</v>
      </c>
      <c r="T100" s="766"/>
    </row>
    <row r="101" spans="1:20">
      <c r="A101" s="459">
        <v>84</v>
      </c>
      <c r="B101" s="546">
        <v>7000018791</v>
      </c>
      <c r="C101" s="546">
        <v>970</v>
      </c>
      <c r="D101" s="546" t="s">
        <v>522</v>
      </c>
      <c r="E101" s="546">
        <v>1000004309</v>
      </c>
      <c r="F101" s="546">
        <v>85371000</v>
      </c>
      <c r="G101" s="534"/>
      <c r="H101" s="546">
        <v>18</v>
      </c>
      <c r="I101" s="535"/>
      <c r="J101" s="538" t="s">
        <v>630</v>
      </c>
      <c r="K101" s="546" t="s">
        <v>301</v>
      </c>
      <c r="L101" s="546">
        <v>1</v>
      </c>
      <c r="M101" s="547"/>
      <c r="N101" s="548" t="str">
        <f t="shared" si="9"/>
        <v>INCLUDED</v>
      </c>
      <c r="O101" s="634">
        <f t="shared" si="10"/>
        <v>0</v>
      </c>
      <c r="P101" s="634">
        <f t="shared" si="11"/>
        <v>0</v>
      </c>
      <c r="Q101" s="639">
        <f>Discount!$H$36</f>
        <v>0</v>
      </c>
      <c r="R101" s="639">
        <f t="shared" si="12"/>
        <v>0</v>
      </c>
      <c r="S101" s="639">
        <f t="shared" si="13"/>
        <v>0</v>
      </c>
      <c r="T101" s="766"/>
    </row>
    <row r="102" spans="1:20" ht="94.5">
      <c r="A102" s="536">
        <v>85</v>
      </c>
      <c r="B102" s="546">
        <v>7000018791</v>
      </c>
      <c r="C102" s="546">
        <v>980</v>
      </c>
      <c r="D102" s="546" t="s">
        <v>561</v>
      </c>
      <c r="E102" s="546">
        <v>1000031367</v>
      </c>
      <c r="F102" s="546">
        <v>85176260</v>
      </c>
      <c r="G102" s="534"/>
      <c r="H102" s="546">
        <v>18</v>
      </c>
      <c r="I102" s="535"/>
      <c r="J102" s="538" t="s">
        <v>631</v>
      </c>
      <c r="K102" s="546" t="s">
        <v>300</v>
      </c>
      <c r="L102" s="546">
        <v>1</v>
      </c>
      <c r="M102" s="547"/>
      <c r="N102" s="548" t="str">
        <f t="shared" si="9"/>
        <v>INCLUDED</v>
      </c>
      <c r="O102" s="634">
        <f t="shared" si="10"/>
        <v>0</v>
      </c>
      <c r="P102" s="634">
        <f t="shared" si="11"/>
        <v>0</v>
      </c>
      <c r="Q102" s="639">
        <f>Discount!$H$36</f>
        <v>0</v>
      </c>
      <c r="R102" s="639">
        <f t="shared" si="12"/>
        <v>0</v>
      </c>
      <c r="S102" s="639">
        <f t="shared" si="13"/>
        <v>0</v>
      </c>
      <c r="T102" s="766"/>
    </row>
    <row r="103" spans="1:20">
      <c r="A103" s="459">
        <v>86</v>
      </c>
      <c r="B103" s="546">
        <v>7000018791</v>
      </c>
      <c r="C103" s="546">
        <v>990</v>
      </c>
      <c r="D103" s="546" t="s">
        <v>561</v>
      </c>
      <c r="E103" s="546">
        <v>1000018706</v>
      </c>
      <c r="F103" s="546">
        <v>85176990</v>
      </c>
      <c r="G103" s="534"/>
      <c r="H103" s="546">
        <v>18</v>
      </c>
      <c r="I103" s="535"/>
      <c r="J103" s="538" t="s">
        <v>632</v>
      </c>
      <c r="K103" s="546" t="s">
        <v>300</v>
      </c>
      <c r="L103" s="546">
        <v>4</v>
      </c>
      <c r="M103" s="547"/>
      <c r="N103" s="548" t="str">
        <f t="shared" si="9"/>
        <v>INCLUDED</v>
      </c>
      <c r="O103" s="634">
        <f t="shared" si="10"/>
        <v>0</v>
      </c>
      <c r="P103" s="634">
        <f t="shared" si="11"/>
        <v>0</v>
      </c>
      <c r="Q103" s="639">
        <f>Discount!$H$36</f>
        <v>0</v>
      </c>
      <c r="R103" s="639">
        <f t="shared" si="12"/>
        <v>0</v>
      </c>
      <c r="S103" s="639">
        <f t="shared" si="13"/>
        <v>0</v>
      </c>
      <c r="T103" s="766"/>
    </row>
    <row r="104" spans="1:20">
      <c r="A104" s="536">
        <v>87</v>
      </c>
      <c r="B104" s="546">
        <v>7000018791</v>
      </c>
      <c r="C104" s="546">
        <v>1000</v>
      </c>
      <c r="D104" s="546" t="s">
        <v>561</v>
      </c>
      <c r="E104" s="546">
        <v>1000019317</v>
      </c>
      <c r="F104" s="546">
        <v>85176290</v>
      </c>
      <c r="G104" s="534"/>
      <c r="H104" s="546">
        <v>18</v>
      </c>
      <c r="I104" s="535"/>
      <c r="J104" s="538" t="s">
        <v>633</v>
      </c>
      <c r="K104" s="546" t="s">
        <v>300</v>
      </c>
      <c r="L104" s="546">
        <v>4</v>
      </c>
      <c r="M104" s="547"/>
      <c r="N104" s="548" t="str">
        <f t="shared" si="9"/>
        <v>INCLUDED</v>
      </c>
      <c r="O104" s="634">
        <f t="shared" si="10"/>
        <v>0</v>
      </c>
      <c r="P104" s="634">
        <f t="shared" si="11"/>
        <v>0</v>
      </c>
      <c r="Q104" s="639">
        <f>Discount!$H$36</f>
        <v>0</v>
      </c>
      <c r="R104" s="639">
        <f t="shared" si="12"/>
        <v>0</v>
      </c>
      <c r="S104" s="639">
        <f t="shared" si="13"/>
        <v>0</v>
      </c>
      <c r="T104" s="766"/>
    </row>
    <row r="105" spans="1:20">
      <c r="A105" s="459">
        <v>88</v>
      </c>
      <c r="B105" s="546">
        <v>7000018791</v>
      </c>
      <c r="C105" s="546">
        <v>1010</v>
      </c>
      <c r="D105" s="546" t="s">
        <v>561</v>
      </c>
      <c r="E105" s="546">
        <v>1000031374</v>
      </c>
      <c r="F105" s="546">
        <v>85176290</v>
      </c>
      <c r="G105" s="534"/>
      <c r="H105" s="546">
        <v>18</v>
      </c>
      <c r="I105" s="535"/>
      <c r="J105" s="538" t="s">
        <v>634</v>
      </c>
      <c r="K105" s="546" t="s">
        <v>301</v>
      </c>
      <c r="L105" s="546">
        <v>2</v>
      </c>
      <c r="M105" s="547"/>
      <c r="N105" s="548" t="str">
        <f t="shared" si="9"/>
        <v>INCLUDED</v>
      </c>
      <c r="O105" s="634">
        <f t="shared" si="10"/>
        <v>0</v>
      </c>
      <c r="P105" s="634">
        <f t="shared" si="11"/>
        <v>0</v>
      </c>
      <c r="Q105" s="639">
        <f>Discount!$H$36</f>
        <v>0</v>
      </c>
      <c r="R105" s="639">
        <f t="shared" si="12"/>
        <v>0</v>
      </c>
      <c r="S105" s="639">
        <f t="shared" si="13"/>
        <v>0</v>
      </c>
      <c r="T105" s="766"/>
    </row>
    <row r="106" spans="1:20" ht="31.5">
      <c r="A106" s="536">
        <v>89</v>
      </c>
      <c r="B106" s="546">
        <v>7000018791</v>
      </c>
      <c r="C106" s="546">
        <v>1020</v>
      </c>
      <c r="D106" s="546" t="s">
        <v>561</v>
      </c>
      <c r="E106" s="546">
        <v>1000034950</v>
      </c>
      <c r="F106" s="546">
        <v>85176990</v>
      </c>
      <c r="G106" s="534"/>
      <c r="H106" s="546">
        <v>18</v>
      </c>
      <c r="I106" s="535"/>
      <c r="J106" s="538" t="s">
        <v>635</v>
      </c>
      <c r="K106" s="546" t="s">
        <v>300</v>
      </c>
      <c r="L106" s="546">
        <v>2</v>
      </c>
      <c r="M106" s="547"/>
      <c r="N106" s="548" t="str">
        <f t="shared" si="9"/>
        <v>INCLUDED</v>
      </c>
      <c r="O106" s="634">
        <f t="shared" si="10"/>
        <v>0</v>
      </c>
      <c r="P106" s="634">
        <f t="shared" si="11"/>
        <v>0</v>
      </c>
      <c r="Q106" s="639">
        <f>Discount!$H$36</f>
        <v>0</v>
      </c>
      <c r="R106" s="639">
        <f t="shared" si="12"/>
        <v>0</v>
      </c>
      <c r="S106" s="639">
        <f t="shared" si="13"/>
        <v>0</v>
      </c>
      <c r="T106" s="766"/>
    </row>
    <row r="107" spans="1:20" ht="31.5">
      <c r="A107" s="459">
        <v>90</v>
      </c>
      <c r="B107" s="546">
        <v>7000018791</v>
      </c>
      <c r="C107" s="546">
        <v>1030</v>
      </c>
      <c r="D107" s="546" t="s">
        <v>561</v>
      </c>
      <c r="E107" s="546">
        <v>1000031381</v>
      </c>
      <c r="F107" s="546">
        <v>85176290</v>
      </c>
      <c r="G107" s="534"/>
      <c r="H107" s="546">
        <v>18</v>
      </c>
      <c r="I107" s="535"/>
      <c r="J107" s="538" t="s">
        <v>636</v>
      </c>
      <c r="K107" s="546" t="s">
        <v>301</v>
      </c>
      <c r="L107" s="546">
        <v>1</v>
      </c>
      <c r="M107" s="547"/>
      <c r="N107" s="548" t="str">
        <f t="shared" si="9"/>
        <v>INCLUDED</v>
      </c>
      <c r="O107" s="634">
        <f t="shared" si="10"/>
        <v>0</v>
      </c>
      <c r="P107" s="634">
        <f t="shared" si="11"/>
        <v>0</v>
      </c>
      <c r="Q107" s="639">
        <f>Discount!$H$36</f>
        <v>0</v>
      </c>
      <c r="R107" s="639">
        <f t="shared" si="12"/>
        <v>0</v>
      </c>
      <c r="S107" s="639">
        <f t="shared" si="13"/>
        <v>0</v>
      </c>
      <c r="T107" s="766"/>
    </row>
    <row r="108" spans="1:20">
      <c r="A108" s="536">
        <v>91</v>
      </c>
      <c r="B108" s="546">
        <v>7000018791</v>
      </c>
      <c r="C108" s="546">
        <v>1040</v>
      </c>
      <c r="D108" s="546" t="s">
        <v>561</v>
      </c>
      <c r="E108" s="546">
        <v>1000026228</v>
      </c>
      <c r="F108" s="546">
        <v>85176290</v>
      </c>
      <c r="G108" s="534"/>
      <c r="H108" s="546">
        <v>18</v>
      </c>
      <c r="I108" s="535"/>
      <c r="J108" s="538" t="s">
        <v>637</v>
      </c>
      <c r="K108" s="546" t="s">
        <v>300</v>
      </c>
      <c r="L108" s="546">
        <v>1</v>
      </c>
      <c r="M108" s="547"/>
      <c r="N108" s="548" t="str">
        <f t="shared" si="9"/>
        <v>INCLUDED</v>
      </c>
      <c r="O108" s="634">
        <f t="shared" si="10"/>
        <v>0</v>
      </c>
      <c r="P108" s="634">
        <f t="shared" si="11"/>
        <v>0</v>
      </c>
      <c r="Q108" s="639">
        <f>Discount!$H$36</f>
        <v>0</v>
      </c>
      <c r="R108" s="639">
        <f t="shared" si="12"/>
        <v>0</v>
      </c>
      <c r="S108" s="639">
        <f t="shared" si="13"/>
        <v>0</v>
      </c>
      <c r="T108" s="766"/>
    </row>
    <row r="109" spans="1:20">
      <c r="A109" s="459">
        <v>92</v>
      </c>
      <c r="B109" s="546">
        <v>7000018791</v>
      </c>
      <c r="C109" s="546">
        <v>1050</v>
      </c>
      <c r="D109" s="546" t="s">
        <v>561</v>
      </c>
      <c r="E109" s="546">
        <v>1000028495</v>
      </c>
      <c r="F109" s="546">
        <v>84715000</v>
      </c>
      <c r="G109" s="534"/>
      <c r="H109" s="546">
        <v>18</v>
      </c>
      <c r="I109" s="535"/>
      <c r="J109" s="538" t="s">
        <v>638</v>
      </c>
      <c r="K109" s="546" t="s">
        <v>300</v>
      </c>
      <c r="L109" s="546">
        <v>1</v>
      </c>
      <c r="M109" s="547"/>
      <c r="N109" s="548" t="str">
        <f t="shared" si="9"/>
        <v>INCLUDED</v>
      </c>
      <c r="O109" s="634">
        <f t="shared" si="10"/>
        <v>0</v>
      </c>
      <c r="P109" s="634">
        <f t="shared" si="11"/>
        <v>0</v>
      </c>
      <c r="Q109" s="639">
        <f>Discount!$H$36</f>
        <v>0</v>
      </c>
      <c r="R109" s="639">
        <f t="shared" si="12"/>
        <v>0</v>
      </c>
      <c r="S109" s="639">
        <f t="shared" si="13"/>
        <v>0</v>
      </c>
      <c r="T109" s="766"/>
    </row>
    <row r="110" spans="1:20">
      <c r="A110" s="536">
        <v>93</v>
      </c>
      <c r="B110" s="546">
        <v>7000018791</v>
      </c>
      <c r="C110" s="546">
        <v>1060</v>
      </c>
      <c r="D110" s="546" t="s">
        <v>561</v>
      </c>
      <c r="E110" s="546">
        <v>1000028265</v>
      </c>
      <c r="F110" s="546">
        <v>85238020</v>
      </c>
      <c r="G110" s="534"/>
      <c r="H110" s="546">
        <v>18</v>
      </c>
      <c r="I110" s="535"/>
      <c r="J110" s="538" t="s">
        <v>639</v>
      </c>
      <c r="K110" s="546" t="s">
        <v>300</v>
      </c>
      <c r="L110" s="546">
        <v>1</v>
      </c>
      <c r="M110" s="547"/>
      <c r="N110" s="548" t="str">
        <f t="shared" si="9"/>
        <v>INCLUDED</v>
      </c>
      <c r="O110" s="634">
        <f t="shared" si="10"/>
        <v>0</v>
      </c>
      <c r="P110" s="634">
        <f t="shared" si="11"/>
        <v>0</v>
      </c>
      <c r="Q110" s="639">
        <f>Discount!$H$36</f>
        <v>0</v>
      </c>
      <c r="R110" s="639">
        <f t="shared" si="12"/>
        <v>0</v>
      </c>
      <c r="S110" s="639">
        <f t="shared" si="13"/>
        <v>0</v>
      </c>
      <c r="T110" s="766"/>
    </row>
    <row r="111" spans="1:20" ht="31.5">
      <c r="A111" s="459">
        <v>94</v>
      </c>
      <c r="B111" s="546">
        <v>7000018791</v>
      </c>
      <c r="C111" s="546">
        <v>1070</v>
      </c>
      <c r="D111" s="546" t="s">
        <v>561</v>
      </c>
      <c r="E111" s="546">
        <v>1000034998</v>
      </c>
      <c r="F111" s="546">
        <v>85171890</v>
      </c>
      <c r="G111" s="534"/>
      <c r="H111" s="546">
        <v>18</v>
      </c>
      <c r="I111" s="535"/>
      <c r="J111" s="538" t="s">
        <v>640</v>
      </c>
      <c r="K111" s="546" t="s">
        <v>300</v>
      </c>
      <c r="L111" s="546">
        <v>2</v>
      </c>
      <c r="M111" s="547"/>
      <c r="N111" s="548" t="str">
        <f t="shared" si="9"/>
        <v>INCLUDED</v>
      </c>
      <c r="O111" s="634">
        <f t="shared" si="10"/>
        <v>0</v>
      </c>
      <c r="P111" s="634">
        <f t="shared" si="11"/>
        <v>0</v>
      </c>
      <c r="Q111" s="639">
        <f>Discount!$H$36</f>
        <v>0</v>
      </c>
      <c r="R111" s="639">
        <f t="shared" si="12"/>
        <v>0</v>
      </c>
      <c r="S111" s="639">
        <f t="shared" si="13"/>
        <v>0</v>
      </c>
      <c r="T111" s="766"/>
    </row>
    <row r="112" spans="1:20" ht="63">
      <c r="A112" s="536">
        <v>95</v>
      </c>
      <c r="B112" s="546">
        <v>7000018791</v>
      </c>
      <c r="C112" s="546">
        <v>1090</v>
      </c>
      <c r="D112" s="546" t="s">
        <v>562</v>
      </c>
      <c r="E112" s="546">
        <v>1000031369</v>
      </c>
      <c r="F112" s="546">
        <v>85176260</v>
      </c>
      <c r="G112" s="534"/>
      <c r="H112" s="546">
        <v>18</v>
      </c>
      <c r="I112" s="535"/>
      <c r="J112" s="538" t="s">
        <v>641</v>
      </c>
      <c r="K112" s="546" t="s">
        <v>301</v>
      </c>
      <c r="L112" s="546">
        <v>1</v>
      </c>
      <c r="M112" s="547"/>
      <c r="N112" s="548" t="str">
        <f t="shared" si="9"/>
        <v>INCLUDED</v>
      </c>
      <c r="O112" s="634">
        <f t="shared" si="10"/>
        <v>0</v>
      </c>
      <c r="P112" s="634">
        <f t="shared" si="11"/>
        <v>0</v>
      </c>
      <c r="Q112" s="639">
        <f>Discount!$H$36</f>
        <v>0</v>
      </c>
      <c r="R112" s="639">
        <f t="shared" si="12"/>
        <v>0</v>
      </c>
      <c r="S112" s="639">
        <f t="shared" si="13"/>
        <v>0</v>
      </c>
      <c r="T112" s="766"/>
    </row>
    <row r="113" spans="1:20">
      <c r="A113" s="459">
        <v>96</v>
      </c>
      <c r="B113" s="546">
        <v>7000018791</v>
      </c>
      <c r="C113" s="546">
        <v>1100</v>
      </c>
      <c r="D113" s="546" t="s">
        <v>562</v>
      </c>
      <c r="E113" s="546">
        <v>1000018706</v>
      </c>
      <c r="F113" s="546">
        <v>85176990</v>
      </c>
      <c r="G113" s="534"/>
      <c r="H113" s="546">
        <v>18</v>
      </c>
      <c r="I113" s="535"/>
      <c r="J113" s="538" t="s">
        <v>632</v>
      </c>
      <c r="K113" s="546" t="s">
        <v>300</v>
      </c>
      <c r="L113" s="546">
        <v>1</v>
      </c>
      <c r="M113" s="547"/>
      <c r="N113" s="548" t="str">
        <f t="shared" si="9"/>
        <v>INCLUDED</v>
      </c>
      <c r="O113" s="634">
        <f t="shared" si="10"/>
        <v>0</v>
      </c>
      <c r="P113" s="634">
        <f t="shared" si="11"/>
        <v>0</v>
      </c>
      <c r="Q113" s="639">
        <f>Discount!$H$36</f>
        <v>0</v>
      </c>
      <c r="R113" s="639">
        <f t="shared" si="12"/>
        <v>0</v>
      </c>
      <c r="S113" s="639">
        <f t="shared" si="13"/>
        <v>0</v>
      </c>
      <c r="T113" s="766"/>
    </row>
    <row r="114" spans="1:20">
      <c r="A114" s="536">
        <v>97</v>
      </c>
      <c r="B114" s="546">
        <v>7000018791</v>
      </c>
      <c r="C114" s="546">
        <v>1160</v>
      </c>
      <c r="D114" s="546" t="s">
        <v>562</v>
      </c>
      <c r="E114" s="546">
        <v>1000019317</v>
      </c>
      <c r="F114" s="546">
        <v>85176290</v>
      </c>
      <c r="G114" s="534"/>
      <c r="H114" s="546">
        <v>18</v>
      </c>
      <c r="I114" s="535"/>
      <c r="J114" s="538" t="s">
        <v>633</v>
      </c>
      <c r="K114" s="546" t="s">
        <v>300</v>
      </c>
      <c r="L114" s="546">
        <v>1</v>
      </c>
      <c r="M114" s="547"/>
      <c r="N114" s="548" t="str">
        <f t="shared" si="9"/>
        <v>INCLUDED</v>
      </c>
      <c r="O114" s="634">
        <f t="shared" si="10"/>
        <v>0</v>
      </c>
      <c r="P114" s="634">
        <f t="shared" si="11"/>
        <v>0</v>
      </c>
      <c r="Q114" s="639">
        <f>Discount!$H$36</f>
        <v>0</v>
      </c>
      <c r="R114" s="639">
        <f t="shared" si="12"/>
        <v>0</v>
      </c>
      <c r="S114" s="639">
        <f t="shared" si="13"/>
        <v>0</v>
      </c>
      <c r="T114" s="766"/>
    </row>
    <row r="115" spans="1:20">
      <c r="A115" s="459">
        <v>98</v>
      </c>
      <c r="B115" s="546">
        <v>7000018791</v>
      </c>
      <c r="C115" s="546">
        <v>1110</v>
      </c>
      <c r="D115" s="546" t="s">
        <v>562</v>
      </c>
      <c r="E115" s="546">
        <v>1000031374</v>
      </c>
      <c r="F115" s="546">
        <v>85176290</v>
      </c>
      <c r="G115" s="534"/>
      <c r="H115" s="546">
        <v>18</v>
      </c>
      <c r="I115" s="535"/>
      <c r="J115" s="538" t="s">
        <v>634</v>
      </c>
      <c r="K115" s="546" t="s">
        <v>301</v>
      </c>
      <c r="L115" s="546">
        <v>1</v>
      </c>
      <c r="M115" s="547"/>
      <c r="N115" s="548" t="str">
        <f t="shared" si="9"/>
        <v>INCLUDED</v>
      </c>
      <c r="O115" s="634">
        <f t="shared" si="10"/>
        <v>0</v>
      </c>
      <c r="P115" s="634">
        <f t="shared" si="11"/>
        <v>0</v>
      </c>
      <c r="Q115" s="639">
        <f>Discount!$H$36</f>
        <v>0</v>
      </c>
      <c r="R115" s="639">
        <f t="shared" si="12"/>
        <v>0</v>
      </c>
      <c r="S115" s="639">
        <f t="shared" si="13"/>
        <v>0</v>
      </c>
      <c r="T115" s="766"/>
    </row>
    <row r="116" spans="1:20" ht="31.5">
      <c r="A116" s="536">
        <v>99</v>
      </c>
      <c r="B116" s="546">
        <v>7000018791</v>
      </c>
      <c r="C116" s="546">
        <v>1120</v>
      </c>
      <c r="D116" s="546" t="s">
        <v>562</v>
      </c>
      <c r="E116" s="546">
        <v>1000034950</v>
      </c>
      <c r="F116" s="546">
        <v>85176990</v>
      </c>
      <c r="G116" s="534"/>
      <c r="H116" s="546">
        <v>18</v>
      </c>
      <c r="I116" s="535"/>
      <c r="J116" s="538" t="s">
        <v>635</v>
      </c>
      <c r="K116" s="546" t="s">
        <v>300</v>
      </c>
      <c r="L116" s="546">
        <v>1</v>
      </c>
      <c r="M116" s="547"/>
      <c r="N116" s="548" t="str">
        <f t="shared" si="9"/>
        <v>INCLUDED</v>
      </c>
      <c r="O116" s="634">
        <f t="shared" si="10"/>
        <v>0</v>
      </c>
      <c r="P116" s="634">
        <f t="shared" si="11"/>
        <v>0</v>
      </c>
      <c r="Q116" s="639">
        <f>Discount!$H$36</f>
        <v>0</v>
      </c>
      <c r="R116" s="639">
        <f t="shared" si="12"/>
        <v>0</v>
      </c>
      <c r="S116" s="639">
        <f t="shared" si="13"/>
        <v>0</v>
      </c>
      <c r="T116" s="766">
        <f t="shared" si="7"/>
        <v>0</v>
      </c>
    </row>
    <row r="117" spans="1:20" ht="31.5">
      <c r="A117" s="459">
        <v>100</v>
      </c>
      <c r="B117" s="546">
        <v>7000018791</v>
      </c>
      <c r="C117" s="546">
        <v>1130</v>
      </c>
      <c r="D117" s="546" t="s">
        <v>562</v>
      </c>
      <c r="E117" s="546">
        <v>1000031381</v>
      </c>
      <c r="F117" s="546">
        <v>85176290</v>
      </c>
      <c r="G117" s="534"/>
      <c r="H117" s="546">
        <v>18</v>
      </c>
      <c r="I117" s="535"/>
      <c r="J117" s="538" t="s">
        <v>636</v>
      </c>
      <c r="K117" s="546" t="s">
        <v>301</v>
      </c>
      <c r="L117" s="546">
        <v>1</v>
      </c>
      <c r="M117" s="547"/>
      <c r="N117" s="548" t="str">
        <f t="shared" si="9"/>
        <v>INCLUDED</v>
      </c>
      <c r="O117" s="634">
        <f t="shared" si="10"/>
        <v>0</v>
      </c>
      <c r="P117" s="634">
        <f t="shared" si="11"/>
        <v>0</v>
      </c>
      <c r="Q117" s="639">
        <f>Discount!$H$36</f>
        <v>0</v>
      </c>
      <c r="R117" s="639">
        <f t="shared" si="12"/>
        <v>0</v>
      </c>
      <c r="S117" s="639">
        <f t="shared" si="13"/>
        <v>0</v>
      </c>
      <c r="T117" s="766">
        <f t="shared" si="7"/>
        <v>0</v>
      </c>
    </row>
    <row r="118" spans="1:20" ht="31.5">
      <c r="A118" s="536">
        <v>101</v>
      </c>
      <c r="B118" s="546">
        <v>7000018791</v>
      </c>
      <c r="C118" s="546">
        <v>1140</v>
      </c>
      <c r="D118" s="546" t="s">
        <v>562</v>
      </c>
      <c r="E118" s="546">
        <v>1000034998</v>
      </c>
      <c r="F118" s="546">
        <v>85171890</v>
      </c>
      <c r="G118" s="534"/>
      <c r="H118" s="546">
        <v>18</v>
      </c>
      <c r="I118" s="535"/>
      <c r="J118" s="538" t="s">
        <v>640</v>
      </c>
      <c r="K118" s="546" t="s">
        <v>300</v>
      </c>
      <c r="L118" s="546">
        <v>1</v>
      </c>
      <c r="M118" s="547"/>
      <c r="N118" s="548" t="str">
        <f t="shared" si="9"/>
        <v>INCLUDED</v>
      </c>
      <c r="O118" s="634">
        <f t="shared" si="10"/>
        <v>0</v>
      </c>
      <c r="P118" s="634">
        <f t="shared" si="11"/>
        <v>0</v>
      </c>
      <c r="Q118" s="639">
        <f>Discount!$H$36</f>
        <v>0</v>
      </c>
      <c r="R118" s="639">
        <f t="shared" si="12"/>
        <v>0</v>
      </c>
      <c r="S118" s="639">
        <f t="shared" si="13"/>
        <v>0</v>
      </c>
      <c r="T118" s="766">
        <f t="shared" si="7"/>
        <v>0</v>
      </c>
    </row>
    <row r="119" spans="1:20" ht="31.5">
      <c r="A119" s="459">
        <v>102</v>
      </c>
      <c r="B119" s="546">
        <v>7000018791</v>
      </c>
      <c r="C119" s="546">
        <v>1150</v>
      </c>
      <c r="D119" s="546" t="s">
        <v>562</v>
      </c>
      <c r="E119" s="546">
        <v>1000031398</v>
      </c>
      <c r="F119" s="546">
        <v>85171890</v>
      </c>
      <c r="G119" s="534"/>
      <c r="H119" s="546">
        <v>18</v>
      </c>
      <c r="I119" s="535"/>
      <c r="J119" s="538" t="s">
        <v>642</v>
      </c>
      <c r="K119" s="546" t="s">
        <v>301</v>
      </c>
      <c r="L119" s="546">
        <v>1</v>
      </c>
      <c r="M119" s="547"/>
      <c r="N119" s="548" t="str">
        <f t="shared" si="9"/>
        <v>INCLUDED</v>
      </c>
      <c r="O119" s="634">
        <f t="shared" si="10"/>
        <v>0</v>
      </c>
      <c r="P119" s="634">
        <f t="shared" si="11"/>
        <v>0</v>
      </c>
      <c r="Q119" s="639">
        <f>Discount!$H$36</f>
        <v>0</v>
      </c>
      <c r="R119" s="639">
        <f t="shared" si="12"/>
        <v>0</v>
      </c>
      <c r="S119" s="639">
        <f t="shared" si="13"/>
        <v>0</v>
      </c>
      <c r="T119" s="766">
        <f t="shared" si="7"/>
        <v>0</v>
      </c>
    </row>
    <row r="120" spans="1:20" ht="31.5">
      <c r="A120" s="536">
        <v>103</v>
      </c>
      <c r="B120" s="546">
        <v>7000018791</v>
      </c>
      <c r="C120" s="546">
        <v>1170</v>
      </c>
      <c r="D120" s="546" t="s">
        <v>563</v>
      </c>
      <c r="E120" s="546">
        <v>1000017518</v>
      </c>
      <c r="F120" s="546">
        <v>85364900</v>
      </c>
      <c r="G120" s="534"/>
      <c r="H120" s="546">
        <v>18</v>
      </c>
      <c r="I120" s="535"/>
      <c r="J120" s="538" t="s">
        <v>643</v>
      </c>
      <c r="K120" s="546" t="s">
        <v>300</v>
      </c>
      <c r="L120" s="546">
        <v>2</v>
      </c>
      <c r="M120" s="547"/>
      <c r="N120" s="548" t="str">
        <f t="shared" si="9"/>
        <v>INCLUDED</v>
      </c>
      <c r="O120" s="634">
        <f t="shared" si="10"/>
        <v>0</v>
      </c>
      <c r="P120" s="634">
        <f t="shared" si="11"/>
        <v>0</v>
      </c>
      <c r="Q120" s="639">
        <f>Discount!$H$36</f>
        <v>0</v>
      </c>
      <c r="R120" s="639">
        <f t="shared" si="12"/>
        <v>0</v>
      </c>
      <c r="S120" s="639">
        <f t="shared" si="13"/>
        <v>0</v>
      </c>
      <c r="T120" s="766">
        <f t="shared" si="7"/>
        <v>0</v>
      </c>
    </row>
    <row r="121" spans="1:20" ht="31.5">
      <c r="A121" s="459">
        <v>104</v>
      </c>
      <c r="B121" s="546">
        <v>7000018791</v>
      </c>
      <c r="C121" s="546">
        <v>1180</v>
      </c>
      <c r="D121" s="546" t="s">
        <v>563</v>
      </c>
      <c r="E121" s="546">
        <v>1000022512</v>
      </c>
      <c r="F121" s="546">
        <v>90311000</v>
      </c>
      <c r="G121" s="534"/>
      <c r="H121" s="546">
        <v>18</v>
      </c>
      <c r="I121" s="535"/>
      <c r="J121" s="538" t="s">
        <v>644</v>
      </c>
      <c r="K121" s="546" t="s">
        <v>300</v>
      </c>
      <c r="L121" s="546">
        <v>2</v>
      </c>
      <c r="M121" s="547"/>
      <c r="N121" s="548" t="str">
        <f t="shared" si="9"/>
        <v>INCLUDED</v>
      </c>
      <c r="O121" s="634">
        <f t="shared" si="10"/>
        <v>0</v>
      </c>
      <c r="P121" s="634">
        <f t="shared" si="11"/>
        <v>0</v>
      </c>
      <c r="Q121" s="639">
        <f>Discount!$H$36</f>
        <v>0</v>
      </c>
      <c r="R121" s="639">
        <f t="shared" si="12"/>
        <v>0</v>
      </c>
      <c r="S121" s="639">
        <f t="shared" si="13"/>
        <v>0</v>
      </c>
      <c r="T121" s="766">
        <f t="shared" si="7"/>
        <v>0</v>
      </c>
    </row>
    <row r="122" spans="1:20" ht="31.5">
      <c r="A122" s="536">
        <v>105</v>
      </c>
      <c r="B122" s="546">
        <v>7000018791</v>
      </c>
      <c r="C122" s="546">
        <v>1190</v>
      </c>
      <c r="D122" s="546" t="s">
        <v>563</v>
      </c>
      <c r="E122" s="546">
        <v>1000022510</v>
      </c>
      <c r="F122" s="546">
        <v>85176290</v>
      </c>
      <c r="G122" s="534"/>
      <c r="H122" s="546">
        <v>18</v>
      </c>
      <c r="I122" s="535"/>
      <c r="J122" s="538" t="s">
        <v>645</v>
      </c>
      <c r="K122" s="546" t="s">
        <v>300</v>
      </c>
      <c r="L122" s="546">
        <v>3</v>
      </c>
      <c r="M122" s="547"/>
      <c r="N122" s="548" t="str">
        <f t="shared" si="9"/>
        <v>INCLUDED</v>
      </c>
      <c r="O122" s="634">
        <f t="shared" si="10"/>
        <v>0</v>
      </c>
      <c r="P122" s="634">
        <f t="shared" si="11"/>
        <v>0</v>
      </c>
      <c r="Q122" s="639">
        <f>Discount!$H$36</f>
        <v>0</v>
      </c>
      <c r="R122" s="639">
        <f t="shared" si="12"/>
        <v>0</v>
      </c>
      <c r="S122" s="639">
        <f t="shared" si="13"/>
        <v>0</v>
      </c>
      <c r="T122" s="766">
        <f t="shared" si="7"/>
        <v>0</v>
      </c>
    </row>
    <row r="123" spans="1:20" ht="47.25">
      <c r="A123" s="459">
        <v>106</v>
      </c>
      <c r="B123" s="546">
        <v>7000018791</v>
      </c>
      <c r="C123" s="546">
        <v>1200</v>
      </c>
      <c r="D123" s="546" t="s">
        <v>563</v>
      </c>
      <c r="E123" s="546">
        <v>1000022487</v>
      </c>
      <c r="F123" s="546">
        <v>85447090</v>
      </c>
      <c r="G123" s="534"/>
      <c r="H123" s="546">
        <v>18</v>
      </c>
      <c r="I123" s="535"/>
      <c r="J123" s="538" t="s">
        <v>646</v>
      </c>
      <c r="K123" s="546" t="s">
        <v>300</v>
      </c>
      <c r="L123" s="546">
        <v>1</v>
      </c>
      <c r="M123" s="547"/>
      <c r="N123" s="548" t="str">
        <f t="shared" si="9"/>
        <v>INCLUDED</v>
      </c>
      <c r="O123" s="634">
        <f t="shared" si="10"/>
        <v>0</v>
      </c>
      <c r="P123" s="634">
        <f t="shared" si="11"/>
        <v>0</v>
      </c>
      <c r="Q123" s="639">
        <f>Discount!$H$36</f>
        <v>0</v>
      </c>
      <c r="R123" s="639">
        <f t="shared" si="12"/>
        <v>0</v>
      </c>
      <c r="S123" s="639">
        <f t="shared" si="13"/>
        <v>0</v>
      </c>
      <c r="T123" s="766">
        <f t="shared" si="7"/>
        <v>0</v>
      </c>
    </row>
    <row r="124" spans="1:20" ht="31.5">
      <c r="A124" s="536">
        <v>107</v>
      </c>
      <c r="B124" s="546">
        <v>7000018791</v>
      </c>
      <c r="C124" s="546">
        <v>1230</v>
      </c>
      <c r="D124" s="546" t="s">
        <v>564</v>
      </c>
      <c r="E124" s="546">
        <v>1000062002</v>
      </c>
      <c r="F124" s="546">
        <v>85371000</v>
      </c>
      <c r="G124" s="534"/>
      <c r="H124" s="546">
        <v>18</v>
      </c>
      <c r="I124" s="535"/>
      <c r="J124" s="538" t="s">
        <v>647</v>
      </c>
      <c r="K124" s="546" t="s">
        <v>300</v>
      </c>
      <c r="L124" s="546">
        <v>1</v>
      </c>
      <c r="M124" s="547"/>
      <c r="N124" s="548" t="str">
        <f t="shared" si="9"/>
        <v>INCLUDED</v>
      </c>
      <c r="O124" s="634">
        <f t="shared" si="10"/>
        <v>0</v>
      </c>
      <c r="P124" s="634">
        <f t="shared" si="11"/>
        <v>0</v>
      </c>
      <c r="Q124" s="639">
        <f>Discount!$H$36</f>
        <v>0</v>
      </c>
      <c r="R124" s="639">
        <f t="shared" si="12"/>
        <v>0</v>
      </c>
      <c r="S124" s="639">
        <f t="shared" si="13"/>
        <v>0</v>
      </c>
      <c r="T124" s="766">
        <f t="shared" si="7"/>
        <v>0</v>
      </c>
    </row>
    <row r="125" spans="1:20" ht="31.5">
      <c r="A125" s="459">
        <v>108</v>
      </c>
      <c r="B125" s="546">
        <v>7000018791</v>
      </c>
      <c r="C125" s="546">
        <v>1240</v>
      </c>
      <c r="D125" s="546" t="s">
        <v>564</v>
      </c>
      <c r="E125" s="546">
        <v>1000062004</v>
      </c>
      <c r="F125" s="546">
        <v>85371000</v>
      </c>
      <c r="G125" s="534"/>
      <c r="H125" s="546">
        <v>18</v>
      </c>
      <c r="I125" s="535"/>
      <c r="J125" s="538" t="s">
        <v>648</v>
      </c>
      <c r="K125" s="546" t="s">
        <v>300</v>
      </c>
      <c r="L125" s="546">
        <v>1</v>
      </c>
      <c r="M125" s="547"/>
      <c r="N125" s="548" t="str">
        <f t="shared" si="9"/>
        <v>INCLUDED</v>
      </c>
      <c r="O125" s="634">
        <f t="shared" si="10"/>
        <v>0</v>
      </c>
      <c r="P125" s="634">
        <f t="shared" si="11"/>
        <v>0</v>
      </c>
      <c r="Q125" s="639">
        <f>Discount!$H$36</f>
        <v>0</v>
      </c>
      <c r="R125" s="639">
        <f t="shared" si="12"/>
        <v>0</v>
      </c>
      <c r="S125" s="639">
        <f t="shared" si="13"/>
        <v>0</v>
      </c>
      <c r="T125" s="766">
        <f t="shared" si="7"/>
        <v>0</v>
      </c>
    </row>
    <row r="126" spans="1:20" ht="16.5">
      <c r="A126" s="843" t="s">
        <v>502</v>
      </c>
      <c r="B126" s="843"/>
      <c r="C126" s="843"/>
      <c r="D126" s="843"/>
      <c r="E126" s="843"/>
      <c r="F126" s="843"/>
      <c r="G126" s="843"/>
      <c r="H126" s="843"/>
      <c r="I126" s="843"/>
      <c r="J126" s="843"/>
      <c r="K126" s="843"/>
      <c r="L126" s="843"/>
      <c r="M126" s="843"/>
      <c r="N126" s="735">
        <f>SUM(N18:N125)</f>
        <v>0</v>
      </c>
      <c r="O126" s="635"/>
      <c r="P126" s="636">
        <f>SUM(P18:P125)</f>
        <v>0</v>
      </c>
      <c r="Q126" s="637"/>
      <c r="R126" s="737">
        <f>SUM(R18:R125)</f>
        <v>0</v>
      </c>
      <c r="S126" s="638">
        <f>SUM(S18:S125)</f>
        <v>0</v>
      </c>
      <c r="T126" s="766">
        <f>SUM(T18:T125)</f>
        <v>0</v>
      </c>
    </row>
    <row r="127" spans="1:20" ht="16.5">
      <c r="A127" s="843" t="s">
        <v>271</v>
      </c>
      <c r="B127" s="843"/>
      <c r="C127" s="843"/>
      <c r="D127" s="843"/>
      <c r="E127" s="843"/>
      <c r="F127" s="843"/>
      <c r="G127" s="843"/>
      <c r="H127" s="843"/>
      <c r="I127" s="843"/>
      <c r="J127" s="843"/>
      <c r="K127" s="843"/>
      <c r="L127" s="843"/>
      <c r="M127" s="843"/>
      <c r="N127" s="735">
        <f>'Sch-7'!M18</f>
        <v>0</v>
      </c>
      <c r="O127" s="541"/>
      <c r="P127" s="541"/>
      <c r="Q127" s="516"/>
      <c r="R127" s="516"/>
      <c r="S127" s="516"/>
    </row>
    <row r="128" spans="1:20" ht="16.5">
      <c r="A128" s="843" t="s">
        <v>475</v>
      </c>
      <c r="B128" s="843"/>
      <c r="C128" s="843"/>
      <c r="D128" s="843"/>
      <c r="E128" s="843"/>
      <c r="F128" s="843"/>
      <c r="G128" s="843"/>
      <c r="H128" s="843"/>
      <c r="I128" s="843"/>
      <c r="J128" s="843"/>
      <c r="K128" s="843"/>
      <c r="L128" s="843"/>
      <c r="M128" s="843"/>
      <c r="N128" s="735">
        <f>N126+N127</f>
        <v>0</v>
      </c>
      <c r="O128" s="541"/>
      <c r="P128" s="541"/>
      <c r="Q128" s="516"/>
      <c r="R128" s="516"/>
      <c r="S128" s="516"/>
    </row>
    <row r="129" spans="1:19" ht="16.5">
      <c r="A129" s="543"/>
      <c r="B129" s="845" t="s">
        <v>313</v>
      </c>
      <c r="C129" s="845"/>
      <c r="D129" s="845"/>
      <c r="E129" s="845"/>
      <c r="F129" s="845"/>
      <c r="G129" s="845"/>
      <c r="H129" s="845"/>
      <c r="I129" s="845"/>
      <c r="J129" s="845"/>
      <c r="K129" s="845"/>
      <c r="L129" s="845"/>
      <c r="M129" s="845"/>
      <c r="N129" s="845"/>
      <c r="O129" s="541"/>
      <c r="P129" s="541"/>
      <c r="Q129" s="516"/>
      <c r="R129" s="516"/>
      <c r="S129" s="516"/>
    </row>
    <row r="130" spans="1:19">
      <c r="A130" s="543"/>
      <c r="B130" s="543"/>
      <c r="C130" s="543"/>
      <c r="D130" s="545"/>
      <c r="E130" s="543"/>
      <c r="F130" s="543"/>
      <c r="G130" s="543"/>
      <c r="H130" s="543"/>
      <c r="I130" s="543"/>
      <c r="J130" s="545"/>
      <c r="K130" s="543"/>
      <c r="L130" s="543"/>
      <c r="M130" s="543"/>
      <c r="N130" s="543"/>
      <c r="O130" s="516"/>
      <c r="P130" s="516"/>
      <c r="Q130" s="516"/>
      <c r="R130" s="516"/>
      <c r="S130" s="516"/>
    </row>
    <row r="131" spans="1:19" ht="16.5">
      <c r="A131" s="543"/>
      <c r="B131" s="543" t="s">
        <v>317</v>
      </c>
      <c r="C131" s="847" t="str">
        <f>'Names of Bidder'!D27&amp;" "&amp;'Names of Bidder'!E27&amp;" "&amp;'Names of Bidder'!F27</f>
        <v xml:space="preserve">  </v>
      </c>
      <c r="D131" s="844"/>
      <c r="E131" s="543"/>
      <c r="F131" s="543"/>
      <c r="G131" s="543"/>
      <c r="H131" s="543"/>
      <c r="I131" s="544"/>
      <c r="J131" s="740" t="s">
        <v>319</v>
      </c>
      <c r="K131" s="846" t="str">
        <f>IF('Names of Bidder'!D24="","",'Names of Bidder'!D24)</f>
        <v/>
      </c>
      <c r="L131" s="846"/>
      <c r="M131" s="846"/>
      <c r="N131" s="846"/>
      <c r="O131" s="516"/>
      <c r="P131" s="516"/>
      <c r="Q131" s="516"/>
      <c r="R131" s="516"/>
      <c r="S131" s="516"/>
    </row>
    <row r="132" spans="1:19" ht="16.5">
      <c r="A132" s="543"/>
      <c r="B132" s="543" t="s">
        <v>318</v>
      </c>
      <c r="C132" s="844" t="str">
        <f>IF('Names of Bidder'!D28="","",'Names of Bidder'!D28)</f>
        <v/>
      </c>
      <c r="D132" s="844"/>
      <c r="E132" s="543"/>
      <c r="F132" s="543"/>
      <c r="G132" s="543"/>
      <c r="H132" s="543"/>
      <c r="I132" s="544"/>
      <c r="J132" s="740" t="s">
        <v>124</v>
      </c>
      <c r="K132" s="846" t="str">
        <f>IF('Names of Bidder'!D25="","",'Names of Bidder'!D25)</f>
        <v/>
      </c>
      <c r="L132" s="846"/>
      <c r="M132" s="846"/>
      <c r="N132" s="846"/>
      <c r="O132" s="516"/>
      <c r="P132" s="516"/>
      <c r="Q132" s="516"/>
      <c r="R132" s="516"/>
      <c r="S132" s="516"/>
    </row>
    <row r="133" spans="1:19">
      <c r="A133" s="543"/>
      <c r="B133" s="543"/>
      <c r="C133" s="543"/>
      <c r="D133" s="545"/>
      <c r="E133" s="543"/>
      <c r="F133" s="543"/>
      <c r="G133" s="543"/>
      <c r="H133" s="543"/>
      <c r="I133" s="543"/>
      <c r="J133" s="545"/>
      <c r="K133" s="543"/>
      <c r="L133" s="543"/>
      <c r="M133" s="543"/>
      <c r="N133" s="543"/>
      <c r="O133" s="516"/>
      <c r="P133" s="516"/>
      <c r="Q133" s="516"/>
      <c r="R133" s="516"/>
      <c r="S133" s="516"/>
    </row>
    <row r="134" spans="1:19">
      <c r="A134" s="543"/>
      <c r="B134" s="543"/>
      <c r="C134" s="543"/>
      <c r="D134" s="545"/>
      <c r="E134" s="543"/>
      <c r="F134" s="543"/>
      <c r="G134" s="545"/>
      <c r="H134" s="545"/>
      <c r="I134" s="545"/>
      <c r="J134" s="545"/>
      <c r="K134" s="543"/>
      <c r="L134" s="543"/>
      <c r="M134" s="543"/>
      <c r="N134" s="543"/>
    </row>
    <row r="135" spans="1:19">
      <c r="G135" s="728"/>
      <c r="H135" s="728"/>
      <c r="I135" s="728"/>
    </row>
    <row r="136" spans="1:19">
      <c r="G136" s="728"/>
      <c r="H136" s="728"/>
      <c r="I136" s="728"/>
    </row>
    <row r="137" spans="1:19">
      <c r="G137" s="728"/>
      <c r="H137" s="728"/>
      <c r="I137" s="728"/>
    </row>
    <row r="138" spans="1:19">
      <c r="G138" s="728"/>
      <c r="H138" s="728"/>
      <c r="I138" s="728"/>
    </row>
    <row r="139" spans="1:19">
      <c r="G139" s="728"/>
      <c r="H139" s="728"/>
      <c r="I139" s="728"/>
    </row>
    <row r="140" spans="1:19">
      <c r="G140" s="728"/>
      <c r="H140" s="728"/>
      <c r="I140" s="728"/>
    </row>
    <row r="141" spans="1:19">
      <c r="G141" s="728"/>
      <c r="H141" s="728"/>
      <c r="I141" s="728"/>
    </row>
    <row r="142" spans="1:19">
      <c r="G142" s="728"/>
      <c r="H142" s="728"/>
      <c r="I142" s="728"/>
    </row>
    <row r="143" spans="1:19">
      <c r="G143" s="728"/>
      <c r="H143" s="728"/>
      <c r="I143" s="728"/>
    </row>
    <row r="144" spans="1:19">
      <c r="G144" s="728"/>
      <c r="H144" s="728"/>
      <c r="I144" s="728"/>
    </row>
    <row r="145" spans="7:9">
      <c r="G145" s="728"/>
      <c r="H145" s="728"/>
      <c r="I145" s="728"/>
    </row>
    <row r="146" spans="7:9">
      <c r="G146" s="728"/>
      <c r="H146" s="728"/>
      <c r="I146" s="728"/>
    </row>
    <row r="147" spans="7:9">
      <c r="G147" s="728"/>
      <c r="H147" s="728"/>
      <c r="I147" s="728"/>
    </row>
    <row r="148" spans="7:9">
      <c r="G148" s="728"/>
      <c r="H148" s="728"/>
      <c r="I148" s="728"/>
    </row>
    <row r="149" spans="7:9">
      <c r="G149" s="728"/>
      <c r="H149" s="728"/>
      <c r="I149" s="728"/>
    </row>
    <row r="150" spans="7:9">
      <c r="G150" s="728"/>
      <c r="H150" s="728"/>
      <c r="I150" s="728"/>
    </row>
    <row r="151" spans="7:9">
      <c r="G151" s="728"/>
      <c r="H151" s="728"/>
      <c r="I151" s="728"/>
    </row>
    <row r="152" spans="7:9">
      <c r="G152" s="728"/>
      <c r="H152" s="728"/>
      <c r="I152" s="728"/>
    </row>
    <row r="153" spans="7:9">
      <c r="G153" s="728"/>
      <c r="H153" s="728"/>
      <c r="I153" s="728"/>
    </row>
    <row r="154" spans="7:9">
      <c r="G154" s="728"/>
      <c r="H154" s="728"/>
      <c r="I154" s="728"/>
    </row>
    <row r="155" spans="7:9">
      <c r="G155" s="728"/>
      <c r="H155" s="728"/>
      <c r="I155" s="728"/>
    </row>
    <row r="156" spans="7:9">
      <c r="G156" s="728"/>
      <c r="H156" s="728"/>
      <c r="I156" s="728"/>
    </row>
    <row r="157" spans="7:9">
      <c r="G157" s="728"/>
      <c r="H157" s="728"/>
      <c r="I157" s="728"/>
    </row>
    <row r="158" spans="7:9">
      <c r="G158" s="728"/>
      <c r="H158" s="728"/>
      <c r="I158" s="728"/>
    </row>
    <row r="159" spans="7:9">
      <c r="G159" s="728"/>
      <c r="H159" s="728"/>
      <c r="I159" s="728"/>
    </row>
    <row r="160" spans="7:9">
      <c r="G160" s="728"/>
      <c r="H160" s="728"/>
      <c r="I160" s="728"/>
    </row>
    <row r="161" spans="7:9">
      <c r="G161" s="728"/>
      <c r="H161" s="728"/>
      <c r="I161" s="728"/>
    </row>
    <row r="162" spans="7:9">
      <c r="G162" s="728"/>
      <c r="H162" s="728"/>
      <c r="I162" s="728"/>
    </row>
    <row r="163" spans="7:9">
      <c r="G163" s="728"/>
      <c r="H163" s="728"/>
      <c r="I163" s="728"/>
    </row>
    <row r="164" spans="7:9">
      <c r="G164" s="728"/>
      <c r="H164" s="728"/>
      <c r="I164" s="728"/>
    </row>
    <row r="165" spans="7:9">
      <c r="G165" s="728"/>
      <c r="H165" s="728"/>
      <c r="I165" s="728"/>
    </row>
  </sheetData>
  <sheetProtection algorithmName="SHA-512" hashValue="e+U8vhQZZUDTg6SPPe7yW9sYRgZBwAGjyFFQYPVgC4XLZ57/G5gV93ZSTAvg0y33s+pC3HHcyUwDFqmp2Xhrtg==" saltValue="iSUTyUDi96XtYWh0zqHXrQ==" spinCount="100000" sheet="1" formatColumns="0" formatRows="0" selectLockedCells="1"/>
  <customSheetViews>
    <customSheetView guid="{858F61A7-D995-4540-8BB4-0D5C12D88289}" scale="70" showPageBreaks="1" printArea="1" hiddenColumns="1" view="pageBreakPreview" topLeftCell="A7">
      <selection activeCell="G18" sqref="G18"/>
      <pageMargins left="0.25" right="0.25" top="0.75" bottom="0.5" header="0.3" footer="0.5"/>
      <printOptions horizontalCentered="1"/>
      <pageSetup paperSize="9" scale="52" orientation="landscape" r:id="rId1"/>
      <headerFooter>
        <oddHeader>&amp;RSchedule-1
Page &amp;P of &amp;N</oddHeader>
      </headerFooter>
    </customSheetView>
    <customSheetView guid="{CCA37BAE-906F-43D5-9FD9-B13563E4B9D7}" scale="70" showPageBreaks="1" printArea="1" hiddenColumns="1" view="pageBreakPreview" topLeftCell="A247">
      <selection activeCell="G257" sqref="G257"/>
      <pageMargins left="0.25" right="0.25" top="0.75" bottom="0.5" header="0.3" footer="0.5"/>
      <printOptions horizontalCentered="1"/>
      <pageSetup paperSize="9" scale="57" orientation="landscape" r:id="rId2"/>
      <headerFooter>
        <oddHeader>&amp;RSchedule-1
Page &amp;P of &amp;N</oddHeader>
      </headerFooter>
    </customSheetView>
    <customSheetView guid="{CA9345C4-09FE-4F27-BFD9-3D9BCD2DED09}" scale="70" showPageBreaks="1" printArea="1" hiddenColumns="1" view="pageBreakPreview" topLeftCell="A281">
      <selection activeCell="G290" sqref="G290"/>
      <pageMargins left="0.25" right="0.25" top="0.75" bottom="0.5" header="0.3" footer="0.5"/>
      <printOptions horizontalCentered="1"/>
      <pageSetup paperSize="9" scale="57" orientation="landscape" r:id="rId3"/>
      <headerFooter>
        <oddHeader>&amp;RSchedule-1
Page &amp;P of &amp;N</oddHeader>
      </headerFooter>
    </customSheetView>
    <customSheetView guid="{7AB1F867-F01E-4EB9-A93D-DDCFDB9AA444}" scale="85" showPageBreaks="1" printArea="1" hiddenColumns="1" view="pageBreakPreview" topLeftCell="A124">
      <selection activeCell="G126" sqref="G126"/>
      <pageMargins left="0.25" right="0.25" top="0.75" bottom="0.5" header="0.3" footer="0.5"/>
      <printOptions horizontalCentered="1"/>
      <pageSetup paperSize="9" scale="57" orientation="landscape" r:id="rId4"/>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5"/>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6"/>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8"/>
      <headerFooter>
        <oddHeader>&amp;RSchedule-1
Page &amp;P of &amp;N</oddHeader>
      </headerFooter>
    </customSheetView>
    <customSheetView guid="{497EA202-A8B8-45C5-9E6C-C3CD104F3979}" scale="80" showPageBreaks="1" printArea="1" hiddenColumns="1" view="pageBreakPreview">
      <selection activeCell="G18" sqref="G18"/>
      <pageMargins left="0.25" right="0.25" top="0.75" bottom="0.5" header="0.3" footer="0.5"/>
      <printOptions horizontalCentered="1"/>
      <pageSetup paperSize="9" scale="57" orientation="landscape" r:id="rId9"/>
      <headerFooter>
        <oddHeader>&amp;RSchedule-1
Page &amp;P of &amp;N</oddHeader>
      </headerFooter>
    </customSheetView>
    <customSheetView guid="{63D51328-7CBC-4A1E-B96D-BAE91416501B}" scale="80" showPageBreaks="1" printArea="1" hiddenColumns="1" view="pageBreakPreview">
      <selection activeCell="M26" sqref="M26"/>
      <pageMargins left="0.25" right="0.25" top="0.75" bottom="0.5" header="0.3" footer="0.5"/>
      <printOptions horizontalCentered="1"/>
      <pageSetup paperSize="9" scale="57" orientation="landscape" r:id="rId10"/>
      <headerFooter>
        <oddHeader>&amp;RSchedule-1
Page &amp;P of &amp;N</oddHeader>
      </headerFooter>
    </customSheetView>
    <customSheetView guid="{D5521983-A70D-48A3-9506-C0263CBBC57D}" scale="85" showPageBreaks="1" printArea="1" hiddenColumns="1" view="pageBreakPreview" topLeftCell="A124">
      <selection activeCell="G126" sqref="G126"/>
      <pageMargins left="0.25" right="0.25" top="0.75" bottom="0.5" header="0.3" footer="0.5"/>
      <printOptions horizontalCentered="1"/>
      <pageSetup paperSize="9" scale="57" orientation="landscape" r:id="rId11"/>
      <headerFooter>
        <oddHeader>&amp;RSchedule-1
Page &amp;P of &amp;N</oddHeader>
      </headerFooter>
    </customSheetView>
    <customSheetView guid="{12A89170-4F84-482D-A3C5-7890082E7B73}" scale="85" showPageBreaks="1" printArea="1" hiddenColumns="1" view="pageBreakPreview" topLeftCell="A18">
      <selection activeCell="G18" sqref="G18"/>
      <pageMargins left="0.25" right="0.25" top="0.75" bottom="0.5" header="0.3" footer="0.5"/>
      <printOptions horizontalCentered="1"/>
      <pageSetup paperSize="9" scale="57" orientation="landscape" r:id="rId12"/>
      <headerFooter>
        <oddHeader>&amp;RSchedule-1
Page &amp;P of &amp;N</oddHeader>
      </headerFooter>
    </customSheetView>
  </customSheetViews>
  <mergeCells count="22">
    <mergeCell ref="Z10:AL10"/>
    <mergeCell ref="Z8:AL8"/>
    <mergeCell ref="Z9:AL9"/>
    <mergeCell ref="A126:M126"/>
    <mergeCell ref="C132:D132"/>
    <mergeCell ref="B129:N129"/>
    <mergeCell ref="K132:N132"/>
    <mergeCell ref="K131:N131"/>
    <mergeCell ref="A127:M127"/>
    <mergeCell ref="A128:M128"/>
    <mergeCell ref="C131:D131"/>
    <mergeCell ref="A3:N3"/>
    <mergeCell ref="A4:N4"/>
    <mergeCell ref="A6:B6"/>
    <mergeCell ref="A8:G8"/>
    <mergeCell ref="K14:N14"/>
    <mergeCell ref="C12:G12"/>
    <mergeCell ref="C10:G10"/>
    <mergeCell ref="C9:G9"/>
    <mergeCell ref="A7:I7"/>
    <mergeCell ref="A13:N13"/>
    <mergeCell ref="C11:G11"/>
  </mergeCells>
  <conditionalFormatting sqref="I18:I19 I65:I70 I72:I125">
    <cfRule type="expression" dxfId="17" priority="39" stopIfTrue="1">
      <formula>H18&gt;0</formula>
    </cfRule>
  </conditionalFormatting>
  <conditionalFormatting sqref="I20:I21">
    <cfRule type="expression" dxfId="16" priority="17" stopIfTrue="1">
      <formula>H20&gt;0</formula>
    </cfRule>
  </conditionalFormatting>
  <conditionalFormatting sqref="I22:I24">
    <cfRule type="expression" dxfId="15" priority="12" stopIfTrue="1">
      <formula>H22&gt;0</formula>
    </cfRule>
  </conditionalFormatting>
  <conditionalFormatting sqref="I25:I64">
    <cfRule type="expression" dxfId="14" priority="11" stopIfTrue="1">
      <formula>H25&gt;0</formula>
    </cfRule>
  </conditionalFormatting>
  <conditionalFormatting sqref="I71">
    <cfRule type="expression" dxfId="13" priority="1" stopIfTrue="1">
      <formula>H71&gt;0</formula>
    </cfRule>
  </conditionalFormatting>
  <dataValidations count="3">
    <dataValidation type="list" operator="greaterThan" allowBlank="1" showInputMessage="1" showErrorMessage="1" sqref="I18:I125" xr:uid="{00000000-0002-0000-0400-000000000000}">
      <formula1>"0%,5%,12%,18%,28%"</formula1>
    </dataValidation>
    <dataValidation type="whole" operator="greaterThan" allowBlank="1" showInputMessage="1" showErrorMessage="1" sqref="G18:G125" xr:uid="{00000000-0002-0000-0400-000001000000}">
      <formula1>0</formula1>
    </dataValidation>
    <dataValidation type="decimal" operator="greaterThanOrEqual" allowBlank="1" showInputMessage="1" showErrorMessage="1" sqref="M18:M125" xr:uid="{00000000-0002-0000-0400-000002000000}">
      <formula1>0</formula1>
    </dataValidation>
  </dataValidations>
  <printOptions horizontalCentered="1"/>
  <pageMargins left="0.25" right="0.25" top="0.75" bottom="0.5" header="0.3" footer="0.5"/>
  <pageSetup paperSize="9" scale="52" orientation="landscape" r:id="rId13"/>
  <headerFooter>
    <oddHeader>&amp;RSchedule-1
Page &amp;P of &amp;N</oddHeader>
  </headerFooter>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132"/>
  <sheetViews>
    <sheetView view="pageBreakPreview" topLeftCell="A5" zoomScale="80" zoomScaleNormal="100" zoomScaleSheetLayoutView="80" workbookViewId="0">
      <selection activeCell="I20" sqref="I20"/>
    </sheetView>
  </sheetViews>
  <sheetFormatPr defaultColWidth="9.140625" defaultRowHeight="15.75"/>
  <cols>
    <col min="1" max="1" width="6.140625" style="428" customWidth="1"/>
    <col min="2" max="2" width="15" style="428" customWidth="1"/>
    <col min="3" max="3" width="11.28515625" style="428" customWidth="1"/>
    <col min="4" max="4" width="23.85546875" style="428" customWidth="1"/>
    <col min="5" max="5" width="20.28515625" style="428" customWidth="1"/>
    <col min="6" max="6" width="62" style="420" customWidth="1"/>
    <col min="7" max="7" width="11.28515625" style="428" customWidth="1"/>
    <col min="8" max="8" width="11" style="428" customWidth="1"/>
    <col min="9" max="9" width="18.85546875" style="9" customWidth="1"/>
    <col min="10" max="10" width="25.85546875" style="428" customWidth="1"/>
    <col min="11" max="13" width="10.28515625" style="425" customWidth="1"/>
    <col min="14" max="14" width="9.140625" style="425" customWidth="1"/>
    <col min="15" max="17" width="9.140625" style="425"/>
    <col min="18" max="28" width="9.140625" style="416"/>
    <col min="29" max="16384" width="9.140625" style="424"/>
  </cols>
  <sheetData>
    <row r="1" spans="1:32" ht="36" customHeight="1">
      <c r="A1" s="1" t="str">
        <f>Basic!B5</f>
        <v>Specification No.: 5002002330/CONSULTANCY GIVEN/DOM/A06-CC CS -7</v>
      </c>
      <c r="B1" s="1"/>
      <c r="C1" s="1"/>
      <c r="D1" s="419"/>
      <c r="E1" s="419"/>
      <c r="F1" s="419"/>
      <c r="G1" s="422"/>
      <c r="H1" s="422"/>
      <c r="I1" s="423"/>
      <c r="J1" s="769" t="s">
        <v>526</v>
      </c>
    </row>
    <row r="2" spans="1:32" ht="21.75" customHeight="1">
      <c r="A2" s="418"/>
      <c r="B2" s="418"/>
      <c r="C2" s="418"/>
      <c r="D2" s="418"/>
      <c r="E2" s="418"/>
      <c r="F2" s="418"/>
      <c r="G2" s="352"/>
      <c r="H2" s="352"/>
      <c r="I2" s="426"/>
      <c r="J2" s="352"/>
    </row>
    <row r="3" spans="1:32" ht="44.25" customHeight="1">
      <c r="A3" s="833" t="str">
        <f>Cover!$B$2</f>
        <v xml:space="preserve">Substation Package SS01 for extension of 400kV Gorakhpur Substation through GIS bays for termination of 400 KV D/C New Butwal - Gorakhpur Transmission Line under Cross Border Interconnection
</v>
      </c>
      <c r="B3" s="833"/>
      <c r="C3" s="833"/>
      <c r="D3" s="833"/>
      <c r="E3" s="833"/>
      <c r="F3" s="833"/>
      <c r="G3" s="833"/>
      <c r="H3" s="833"/>
      <c r="I3" s="833"/>
      <c r="J3" s="833"/>
      <c r="K3" s="427"/>
      <c r="N3" s="850"/>
      <c r="O3" s="850"/>
      <c r="R3" s="425"/>
      <c r="S3" s="425"/>
      <c r="T3" s="425"/>
      <c r="U3" s="425"/>
      <c r="V3" s="425"/>
      <c r="W3" s="425"/>
      <c r="X3" s="425"/>
      <c r="Y3" s="425"/>
      <c r="Z3" s="425"/>
      <c r="AA3" s="425"/>
      <c r="AC3" s="416"/>
      <c r="AD3" s="416"/>
      <c r="AE3" s="416"/>
      <c r="AF3" s="416"/>
    </row>
    <row r="4" spans="1:32" ht="21.95" customHeight="1">
      <c r="A4" s="851" t="s">
        <v>0</v>
      </c>
      <c r="B4" s="851"/>
      <c r="C4" s="851"/>
      <c r="D4" s="851"/>
      <c r="E4" s="851"/>
      <c r="F4" s="851"/>
      <c r="G4" s="851"/>
      <c r="H4" s="851"/>
      <c r="I4" s="851"/>
      <c r="J4" s="851"/>
    </row>
    <row r="5" spans="1:32" ht="15" customHeight="1">
      <c r="J5" s="352"/>
    </row>
    <row r="6" spans="1:32" ht="22.5" customHeight="1">
      <c r="A6" s="835" t="s">
        <v>352</v>
      </c>
      <c r="B6" s="835"/>
      <c r="C6" s="4"/>
      <c r="D6" s="352"/>
      <c r="E6" s="4"/>
      <c r="F6" s="4"/>
      <c r="G6" s="4"/>
      <c r="H6" s="4"/>
      <c r="I6" s="4"/>
      <c r="J6" s="352"/>
    </row>
    <row r="7" spans="1:32" ht="25.5" customHeight="1">
      <c r="A7" s="840">
        <f>'Sch-1'!A7</f>
        <v>0</v>
      </c>
      <c r="B7" s="840"/>
      <c r="C7" s="840"/>
      <c r="D7" s="840"/>
      <c r="E7" s="840"/>
      <c r="F7" s="840"/>
      <c r="G7" s="595"/>
      <c r="H7" s="456" t="s">
        <v>1</v>
      </c>
      <c r="I7" s="595"/>
      <c r="J7" s="352"/>
    </row>
    <row r="8" spans="1:32" ht="29.25" customHeight="1">
      <c r="A8" s="836" t="str">
        <f>"Bidder’s Name and Address  (" &amp; MID('Names of Bidder'!B9,9, 20) &amp; ") :"</f>
        <v>Bidder’s Name and Address  (Sole Bidder) :</v>
      </c>
      <c r="B8" s="836"/>
      <c r="C8" s="836"/>
      <c r="D8" s="836"/>
      <c r="E8" s="836"/>
      <c r="F8" s="836"/>
      <c r="G8" s="836"/>
      <c r="H8" s="457" t="s">
        <v>2</v>
      </c>
      <c r="I8" s="549"/>
      <c r="J8" s="352"/>
    </row>
    <row r="9" spans="1:32" ht="26.25" customHeight="1">
      <c r="A9" s="462" t="s">
        <v>12</v>
      </c>
      <c r="B9" s="408"/>
      <c r="C9" s="839" t="str">
        <f>IF('Names of Bidder'!D9=0, "", 'Names of Bidder'!D9)</f>
        <v/>
      </c>
      <c r="D9" s="839"/>
      <c r="E9" s="839"/>
      <c r="F9" s="597"/>
      <c r="G9" s="597"/>
      <c r="H9" s="457" t="s">
        <v>3</v>
      </c>
      <c r="I9" s="409"/>
      <c r="J9" s="352"/>
    </row>
    <row r="10" spans="1:32" ht="17.25" customHeight="1">
      <c r="A10" s="462" t="s">
        <v>11</v>
      </c>
      <c r="B10" s="408"/>
      <c r="C10" s="838" t="str">
        <f>IF('Names of Bidder'!D10=0, "", 'Names of Bidder'!D10)</f>
        <v/>
      </c>
      <c r="D10" s="838"/>
      <c r="E10" s="838"/>
      <c r="F10" s="597"/>
      <c r="G10" s="597"/>
      <c r="H10" s="457" t="s">
        <v>4</v>
      </c>
      <c r="I10" s="409"/>
      <c r="J10" s="352"/>
    </row>
    <row r="11" spans="1:32" ht="18" customHeight="1">
      <c r="A11" s="409"/>
      <c r="B11" s="409"/>
      <c r="C11" s="838" t="str">
        <f>IF('Names of Bidder'!D11=0, "", 'Names of Bidder'!D11)</f>
        <v/>
      </c>
      <c r="D11" s="838"/>
      <c r="E11" s="838"/>
      <c r="F11" s="597"/>
      <c r="G11" s="597"/>
      <c r="H11" s="457" t="s">
        <v>5</v>
      </c>
      <c r="I11" s="409"/>
      <c r="J11" s="352"/>
    </row>
    <row r="12" spans="1:32" ht="18" customHeight="1">
      <c r="A12" s="409"/>
      <c r="B12" s="409"/>
      <c r="C12" s="838" t="str">
        <f>IF('Names of Bidder'!D12=0, "", 'Names of Bidder'!D12)</f>
        <v/>
      </c>
      <c r="D12" s="838"/>
      <c r="E12" s="838"/>
      <c r="F12" s="597"/>
      <c r="G12" s="597"/>
      <c r="H12" s="457" t="s">
        <v>6</v>
      </c>
      <c r="I12" s="409"/>
      <c r="J12" s="352"/>
    </row>
    <row r="13" spans="1:32" s="472" customFormat="1" ht="26.45" customHeight="1">
      <c r="A13" s="848" t="s">
        <v>366</v>
      </c>
      <c r="B13" s="848"/>
      <c r="C13" s="848"/>
      <c r="D13" s="848"/>
      <c r="E13" s="848"/>
      <c r="F13" s="848"/>
      <c r="G13" s="848"/>
      <c r="H13" s="848"/>
      <c r="I13" s="848"/>
      <c r="J13" s="848"/>
      <c r="K13" s="470"/>
      <c r="L13" s="470"/>
      <c r="M13" s="470"/>
      <c r="N13" s="470"/>
      <c r="O13" s="470"/>
      <c r="P13" s="470"/>
      <c r="Q13" s="470"/>
      <c r="R13" s="471"/>
      <c r="S13" s="471"/>
      <c r="T13" s="471"/>
      <c r="U13" s="471"/>
      <c r="V13" s="471"/>
      <c r="W13" s="471"/>
      <c r="X13" s="471"/>
      <c r="Y13" s="471"/>
      <c r="Z13" s="471"/>
      <c r="AA13" s="471"/>
      <c r="AB13" s="471"/>
    </row>
    <row r="14" spans="1:32" ht="20.25" customHeight="1" thickBot="1">
      <c r="A14" s="429"/>
      <c r="B14" s="429"/>
      <c r="C14" s="429"/>
      <c r="D14" s="429"/>
      <c r="E14" s="429"/>
      <c r="F14" s="421"/>
      <c r="G14" s="430"/>
      <c r="H14" s="430"/>
      <c r="I14" s="854" t="s">
        <v>357</v>
      </c>
      <c r="J14" s="854"/>
    </row>
    <row r="15" spans="1:32" ht="102" customHeight="1">
      <c r="A15" s="13" t="s">
        <v>7</v>
      </c>
      <c r="B15" s="17" t="s">
        <v>266</v>
      </c>
      <c r="C15" s="17" t="s">
        <v>278</v>
      </c>
      <c r="D15" s="17" t="s">
        <v>280</v>
      </c>
      <c r="E15" s="17" t="s">
        <v>13</v>
      </c>
      <c r="F15" s="14" t="s">
        <v>14</v>
      </c>
      <c r="G15" s="14" t="s">
        <v>9</v>
      </c>
      <c r="H15" s="14" t="s">
        <v>15</v>
      </c>
      <c r="I15" s="14" t="s">
        <v>365</v>
      </c>
      <c r="J15" s="15" t="s">
        <v>364</v>
      </c>
    </row>
    <row r="16" spans="1:32" s="610" customFormat="1">
      <c r="A16" s="604">
        <v>1</v>
      </c>
      <c r="B16" s="604">
        <v>2</v>
      </c>
      <c r="C16" s="604">
        <v>3</v>
      </c>
      <c r="D16" s="604">
        <v>4</v>
      </c>
      <c r="E16" s="604">
        <v>5</v>
      </c>
      <c r="F16" s="604">
        <v>6</v>
      </c>
      <c r="G16" s="604">
        <v>7</v>
      </c>
      <c r="H16" s="604">
        <v>8</v>
      </c>
      <c r="I16" s="604">
        <v>9</v>
      </c>
      <c r="J16" s="604" t="s">
        <v>358</v>
      </c>
      <c r="K16" s="608"/>
      <c r="L16" s="608"/>
      <c r="M16" s="608"/>
      <c r="N16" s="608"/>
      <c r="O16" s="608"/>
      <c r="P16" s="608"/>
      <c r="Q16" s="608"/>
      <c r="R16" s="609"/>
      <c r="S16" s="609"/>
      <c r="T16" s="609"/>
      <c r="U16" s="609"/>
      <c r="V16" s="609"/>
      <c r="W16" s="609"/>
      <c r="X16" s="609"/>
      <c r="Y16" s="609"/>
      <c r="Z16" s="609"/>
      <c r="AA16" s="609"/>
      <c r="AB16" s="609"/>
    </row>
    <row r="17" spans="1:28" s="760" customFormat="1" ht="18.75">
      <c r="A17" s="749" t="str">
        <f>+'Sch-1'!A17</f>
        <v>I</v>
      </c>
      <c r="B17" s="751" t="str">
        <f>+'Sch-1'!B17</f>
        <v>400 KV Gorakhpur Extn GIS bays</v>
      </c>
      <c r="C17" s="749"/>
      <c r="D17" s="749"/>
      <c r="E17" s="749"/>
      <c r="F17" s="749"/>
      <c r="G17" s="749"/>
      <c r="H17" s="749"/>
      <c r="I17" s="757"/>
      <c r="J17" s="749"/>
      <c r="K17" s="758"/>
      <c r="L17" s="758"/>
      <c r="M17" s="758"/>
      <c r="N17" s="758"/>
      <c r="O17" s="758"/>
      <c r="P17" s="758"/>
      <c r="Q17" s="758"/>
      <c r="R17" s="759"/>
      <c r="S17" s="759"/>
      <c r="T17" s="759"/>
      <c r="U17" s="759"/>
      <c r="V17" s="759"/>
      <c r="W17" s="759"/>
      <c r="X17" s="759"/>
      <c r="Y17" s="759"/>
      <c r="Z17" s="759"/>
      <c r="AA17" s="759"/>
      <c r="AB17" s="759"/>
    </row>
    <row r="18" spans="1:28" ht="31.5">
      <c r="A18" s="734">
        <f>'Sch-1'!A18</f>
        <v>1</v>
      </c>
      <c r="B18" s="546">
        <v>7000018791</v>
      </c>
      <c r="C18" s="546">
        <v>10</v>
      </c>
      <c r="D18" s="546" t="s">
        <v>545</v>
      </c>
      <c r="E18" s="546">
        <v>1000004532</v>
      </c>
      <c r="F18" s="538" t="s">
        <v>565</v>
      </c>
      <c r="G18" s="546" t="s">
        <v>301</v>
      </c>
      <c r="H18" s="546">
        <v>2</v>
      </c>
      <c r="I18" s="547"/>
      <c r="J18" s="548" t="str">
        <f t="shared" ref="J18:J125" si="0">IF(I18=0, "INCLUDED", IF(ISERROR(I18*H18), I18, I18*H18))</f>
        <v>INCLUDED</v>
      </c>
    </row>
    <row r="19" spans="1:28" ht="47.25">
      <c r="A19" s="734">
        <f>'Sch-1'!A19</f>
        <v>2</v>
      </c>
      <c r="B19" s="546">
        <v>7000018791</v>
      </c>
      <c r="C19" s="546">
        <v>20</v>
      </c>
      <c r="D19" s="546" t="s">
        <v>545</v>
      </c>
      <c r="E19" s="546">
        <v>1000004631</v>
      </c>
      <c r="F19" s="538" t="s">
        <v>566</v>
      </c>
      <c r="G19" s="546" t="s">
        <v>301</v>
      </c>
      <c r="H19" s="546">
        <v>2</v>
      </c>
      <c r="I19" s="547"/>
      <c r="J19" s="548" t="str">
        <f t="shared" si="0"/>
        <v>INCLUDED</v>
      </c>
    </row>
    <row r="20" spans="1:28" ht="31.5">
      <c r="A20" s="734">
        <f>'Sch-1'!A20</f>
        <v>3</v>
      </c>
      <c r="B20" s="546">
        <v>7000018791</v>
      </c>
      <c r="C20" s="546">
        <v>30</v>
      </c>
      <c r="D20" s="546" t="s">
        <v>545</v>
      </c>
      <c r="E20" s="546">
        <v>1000004494</v>
      </c>
      <c r="F20" s="538" t="s">
        <v>567</v>
      </c>
      <c r="G20" s="546" t="s">
        <v>301</v>
      </c>
      <c r="H20" s="546">
        <v>2</v>
      </c>
      <c r="I20" s="547"/>
      <c r="J20" s="548" t="str">
        <f t="shared" si="0"/>
        <v>INCLUDED</v>
      </c>
    </row>
    <row r="21" spans="1:28" ht="31.5">
      <c r="A21" s="734">
        <f>'Sch-1'!A21</f>
        <v>4</v>
      </c>
      <c r="B21" s="546">
        <v>7000018791</v>
      </c>
      <c r="C21" s="546">
        <v>40</v>
      </c>
      <c r="D21" s="546" t="s">
        <v>545</v>
      </c>
      <c r="E21" s="546">
        <v>1000029506</v>
      </c>
      <c r="F21" s="538" t="s">
        <v>568</v>
      </c>
      <c r="G21" s="546" t="s">
        <v>300</v>
      </c>
      <c r="H21" s="546">
        <v>6</v>
      </c>
      <c r="I21" s="547"/>
      <c r="J21" s="548" t="str">
        <f t="shared" si="0"/>
        <v>INCLUDED</v>
      </c>
    </row>
    <row r="22" spans="1:28" ht="47.25">
      <c r="A22" s="734">
        <f>'Sch-1'!A22</f>
        <v>5</v>
      </c>
      <c r="B22" s="546">
        <v>7000018791</v>
      </c>
      <c r="C22" s="546">
        <v>50</v>
      </c>
      <c r="D22" s="546" t="s">
        <v>545</v>
      </c>
      <c r="E22" s="546">
        <v>1000004294</v>
      </c>
      <c r="F22" s="538" t="s">
        <v>569</v>
      </c>
      <c r="G22" s="546" t="s">
        <v>476</v>
      </c>
      <c r="H22" s="546">
        <v>350</v>
      </c>
      <c r="I22" s="547"/>
      <c r="J22" s="548" t="str">
        <f t="shared" si="0"/>
        <v>INCLUDED</v>
      </c>
    </row>
    <row r="23" spans="1:28" ht="47.25">
      <c r="A23" s="734">
        <f>'Sch-1'!A23</f>
        <v>6</v>
      </c>
      <c r="B23" s="546">
        <v>7000018791</v>
      </c>
      <c r="C23" s="546">
        <v>60</v>
      </c>
      <c r="D23" s="546" t="s">
        <v>545</v>
      </c>
      <c r="E23" s="546">
        <v>1000004286</v>
      </c>
      <c r="F23" s="538" t="s">
        <v>570</v>
      </c>
      <c r="G23" s="546" t="s">
        <v>476</v>
      </c>
      <c r="H23" s="546">
        <v>200</v>
      </c>
      <c r="I23" s="547"/>
      <c r="J23" s="548" t="str">
        <f t="shared" si="0"/>
        <v>INCLUDED</v>
      </c>
    </row>
    <row r="24" spans="1:28" ht="31.5">
      <c r="A24" s="734">
        <f>'Sch-1'!A24</f>
        <v>7</v>
      </c>
      <c r="B24" s="546">
        <v>7000018791</v>
      </c>
      <c r="C24" s="546">
        <v>70</v>
      </c>
      <c r="D24" s="546" t="s">
        <v>545</v>
      </c>
      <c r="E24" s="546">
        <v>1000032798</v>
      </c>
      <c r="F24" s="538" t="s">
        <v>571</v>
      </c>
      <c r="G24" s="546" t="s">
        <v>301</v>
      </c>
      <c r="H24" s="546">
        <v>6</v>
      </c>
      <c r="I24" s="547"/>
      <c r="J24" s="548" t="str">
        <f t="shared" si="0"/>
        <v>INCLUDED</v>
      </c>
    </row>
    <row r="25" spans="1:28" ht="31.5">
      <c r="A25" s="734">
        <f>'Sch-1'!A25</f>
        <v>8</v>
      </c>
      <c r="B25" s="546">
        <v>7000018791</v>
      </c>
      <c r="C25" s="546">
        <v>80</v>
      </c>
      <c r="D25" s="546" t="s">
        <v>546</v>
      </c>
      <c r="E25" s="546">
        <v>1000025436</v>
      </c>
      <c r="F25" s="538" t="s">
        <v>524</v>
      </c>
      <c r="G25" s="546" t="s">
        <v>300</v>
      </c>
      <c r="H25" s="546">
        <v>1</v>
      </c>
      <c r="I25" s="547"/>
      <c r="J25" s="548" t="str">
        <f t="shared" si="0"/>
        <v>INCLUDED</v>
      </c>
    </row>
    <row r="26" spans="1:28" ht="31.5">
      <c r="A26" s="734">
        <f>'Sch-1'!A26</f>
        <v>9</v>
      </c>
      <c r="B26" s="546">
        <v>7000018791</v>
      </c>
      <c r="C26" s="546">
        <v>90</v>
      </c>
      <c r="D26" s="546" t="s">
        <v>546</v>
      </c>
      <c r="E26" s="546">
        <v>1000032132</v>
      </c>
      <c r="F26" s="538" t="s">
        <v>523</v>
      </c>
      <c r="G26" s="546" t="s">
        <v>300</v>
      </c>
      <c r="H26" s="546">
        <v>1</v>
      </c>
      <c r="I26" s="547"/>
      <c r="J26" s="548" t="str">
        <f t="shared" si="0"/>
        <v>INCLUDED</v>
      </c>
    </row>
    <row r="27" spans="1:28" ht="31.5">
      <c r="A27" s="734">
        <f>'Sch-1'!A27</f>
        <v>10</v>
      </c>
      <c r="B27" s="546">
        <v>7000018791</v>
      </c>
      <c r="C27" s="546">
        <v>100</v>
      </c>
      <c r="D27" s="546" t="s">
        <v>547</v>
      </c>
      <c r="E27" s="546">
        <v>1000004535</v>
      </c>
      <c r="F27" s="538" t="s">
        <v>572</v>
      </c>
      <c r="G27" s="546" t="s">
        <v>300</v>
      </c>
      <c r="H27" s="546">
        <v>6</v>
      </c>
      <c r="I27" s="547"/>
      <c r="J27" s="548" t="str">
        <f t="shared" si="0"/>
        <v>INCLUDED</v>
      </c>
    </row>
    <row r="28" spans="1:28" ht="31.5">
      <c r="A28" s="734">
        <f>'Sch-1'!A28</f>
        <v>11</v>
      </c>
      <c r="B28" s="546">
        <v>7000018791</v>
      </c>
      <c r="C28" s="546">
        <v>110</v>
      </c>
      <c r="D28" s="546" t="s">
        <v>547</v>
      </c>
      <c r="E28" s="546">
        <v>1000020419</v>
      </c>
      <c r="F28" s="538" t="s">
        <v>503</v>
      </c>
      <c r="G28" s="546" t="s">
        <v>300</v>
      </c>
      <c r="H28" s="546">
        <v>6</v>
      </c>
      <c r="I28" s="547"/>
      <c r="J28" s="548" t="str">
        <f t="shared" si="0"/>
        <v>INCLUDED</v>
      </c>
    </row>
    <row r="29" spans="1:28" ht="31.5">
      <c r="A29" s="734">
        <f>'Sch-1'!A29</f>
        <v>12</v>
      </c>
      <c r="B29" s="546">
        <v>7000018791</v>
      </c>
      <c r="C29" s="546">
        <v>120</v>
      </c>
      <c r="D29" s="546" t="s">
        <v>547</v>
      </c>
      <c r="E29" s="546">
        <v>1000004401</v>
      </c>
      <c r="F29" s="538" t="s">
        <v>573</v>
      </c>
      <c r="G29" s="546" t="s">
        <v>300</v>
      </c>
      <c r="H29" s="546">
        <v>40</v>
      </c>
      <c r="I29" s="547"/>
      <c r="J29" s="548" t="str">
        <f t="shared" si="0"/>
        <v>INCLUDED</v>
      </c>
    </row>
    <row r="30" spans="1:28" ht="31.5">
      <c r="A30" s="734">
        <f>'Sch-1'!A30</f>
        <v>13</v>
      </c>
      <c r="B30" s="546">
        <v>7000018791</v>
      </c>
      <c r="C30" s="546">
        <v>130</v>
      </c>
      <c r="D30" s="546" t="s">
        <v>547</v>
      </c>
      <c r="E30" s="546">
        <v>1000004400</v>
      </c>
      <c r="F30" s="538" t="s">
        <v>574</v>
      </c>
      <c r="G30" s="546" t="s">
        <v>300</v>
      </c>
      <c r="H30" s="546">
        <v>12</v>
      </c>
      <c r="I30" s="547"/>
      <c r="J30" s="548" t="str">
        <f t="shared" si="0"/>
        <v>INCLUDED</v>
      </c>
    </row>
    <row r="31" spans="1:28" ht="47.25">
      <c r="A31" s="734">
        <f>'Sch-1'!A31</f>
        <v>14</v>
      </c>
      <c r="B31" s="546">
        <v>7000018791</v>
      </c>
      <c r="C31" s="546">
        <v>140</v>
      </c>
      <c r="D31" s="546" t="s">
        <v>548</v>
      </c>
      <c r="E31" s="546">
        <v>1000011336</v>
      </c>
      <c r="F31" s="538" t="s">
        <v>575</v>
      </c>
      <c r="G31" s="546" t="s">
        <v>301</v>
      </c>
      <c r="H31" s="546">
        <v>2</v>
      </c>
      <c r="I31" s="547"/>
      <c r="J31" s="548" t="str">
        <f t="shared" si="0"/>
        <v>INCLUDED</v>
      </c>
    </row>
    <row r="32" spans="1:28" ht="157.5">
      <c r="A32" s="734">
        <f>'Sch-1'!A32</f>
        <v>15</v>
      </c>
      <c r="B32" s="546">
        <v>7000018791</v>
      </c>
      <c r="C32" s="546">
        <v>150</v>
      </c>
      <c r="D32" s="546" t="s">
        <v>548</v>
      </c>
      <c r="E32" s="546">
        <v>1000046023</v>
      </c>
      <c r="F32" s="538" t="s">
        <v>576</v>
      </c>
      <c r="G32" s="546" t="s">
        <v>506</v>
      </c>
      <c r="H32" s="546">
        <v>1</v>
      </c>
      <c r="I32" s="547"/>
      <c r="J32" s="548" t="str">
        <f t="shared" si="0"/>
        <v>INCLUDED</v>
      </c>
    </row>
    <row r="33" spans="1:10">
      <c r="A33" s="734">
        <f>'Sch-1'!A33</f>
        <v>16</v>
      </c>
      <c r="B33" s="546">
        <v>7000018791</v>
      </c>
      <c r="C33" s="546">
        <v>160</v>
      </c>
      <c r="D33" s="546" t="s">
        <v>549</v>
      </c>
      <c r="E33" s="546">
        <v>1000032055</v>
      </c>
      <c r="F33" s="538" t="s">
        <v>577</v>
      </c>
      <c r="G33" s="546" t="s">
        <v>302</v>
      </c>
      <c r="H33" s="546">
        <v>1</v>
      </c>
      <c r="I33" s="547"/>
      <c r="J33" s="548" t="str">
        <f t="shared" si="0"/>
        <v>INCLUDED</v>
      </c>
    </row>
    <row r="34" spans="1:10" ht="31.5">
      <c r="A34" s="734">
        <f>'Sch-1'!A34</f>
        <v>17</v>
      </c>
      <c r="B34" s="546">
        <v>7000018791</v>
      </c>
      <c r="C34" s="546">
        <v>170</v>
      </c>
      <c r="D34" s="546" t="s">
        <v>550</v>
      </c>
      <c r="E34" s="546">
        <v>1000002166</v>
      </c>
      <c r="F34" s="538" t="s">
        <v>578</v>
      </c>
      <c r="G34" s="546" t="s">
        <v>300</v>
      </c>
      <c r="H34" s="546">
        <v>4</v>
      </c>
      <c r="I34" s="547"/>
      <c r="J34" s="548" t="str">
        <f t="shared" si="0"/>
        <v>INCLUDED</v>
      </c>
    </row>
    <row r="35" spans="1:10" ht="31.5">
      <c r="A35" s="734">
        <f>'Sch-1'!A35</f>
        <v>18</v>
      </c>
      <c r="B35" s="546">
        <v>7000018791</v>
      </c>
      <c r="C35" s="546">
        <v>180</v>
      </c>
      <c r="D35" s="546" t="s">
        <v>550</v>
      </c>
      <c r="E35" s="546">
        <v>1000003397</v>
      </c>
      <c r="F35" s="538" t="s">
        <v>579</v>
      </c>
      <c r="G35" s="546" t="s">
        <v>300</v>
      </c>
      <c r="H35" s="546">
        <v>2</v>
      </c>
      <c r="I35" s="547"/>
      <c r="J35" s="548" t="str">
        <f t="shared" si="0"/>
        <v>INCLUDED</v>
      </c>
    </row>
    <row r="36" spans="1:10" ht="31.5">
      <c r="A36" s="734">
        <f>'Sch-1'!A36</f>
        <v>19</v>
      </c>
      <c r="B36" s="546">
        <v>7000018791</v>
      </c>
      <c r="C36" s="546">
        <v>190</v>
      </c>
      <c r="D36" s="546" t="s">
        <v>550</v>
      </c>
      <c r="E36" s="546">
        <v>1000006843</v>
      </c>
      <c r="F36" s="538" t="s">
        <v>580</v>
      </c>
      <c r="G36" s="546" t="s">
        <v>301</v>
      </c>
      <c r="H36" s="546">
        <v>1</v>
      </c>
      <c r="I36" s="547"/>
      <c r="J36" s="548" t="str">
        <f t="shared" si="0"/>
        <v>INCLUDED</v>
      </c>
    </row>
    <row r="37" spans="1:10" ht="31.5">
      <c r="A37" s="734">
        <f>'Sch-1'!A37</f>
        <v>20</v>
      </c>
      <c r="B37" s="546">
        <v>7000018791</v>
      </c>
      <c r="C37" s="546">
        <v>200</v>
      </c>
      <c r="D37" s="546" t="s">
        <v>550</v>
      </c>
      <c r="E37" s="546">
        <v>1000009638</v>
      </c>
      <c r="F37" s="538" t="s">
        <v>581</v>
      </c>
      <c r="G37" s="546" t="s">
        <v>300</v>
      </c>
      <c r="H37" s="546">
        <v>2</v>
      </c>
      <c r="I37" s="547"/>
      <c r="J37" s="548" t="str">
        <f t="shared" si="0"/>
        <v>INCLUDED</v>
      </c>
    </row>
    <row r="38" spans="1:10" ht="31.5">
      <c r="A38" s="734">
        <f>'Sch-1'!A38</f>
        <v>21</v>
      </c>
      <c r="B38" s="546">
        <v>7000018791</v>
      </c>
      <c r="C38" s="546">
        <v>210</v>
      </c>
      <c r="D38" s="546" t="s">
        <v>551</v>
      </c>
      <c r="E38" s="546">
        <v>1000036908</v>
      </c>
      <c r="F38" s="538" t="s">
        <v>582</v>
      </c>
      <c r="G38" s="546" t="s">
        <v>302</v>
      </c>
      <c r="H38" s="546">
        <v>1</v>
      </c>
      <c r="I38" s="547"/>
      <c r="J38" s="548" t="str">
        <f t="shared" si="0"/>
        <v>INCLUDED</v>
      </c>
    </row>
    <row r="39" spans="1:10" ht="31.5">
      <c r="A39" s="734">
        <f>'Sch-1'!A39</f>
        <v>22</v>
      </c>
      <c r="B39" s="546">
        <v>7000018791</v>
      </c>
      <c r="C39" s="546">
        <v>220</v>
      </c>
      <c r="D39" s="546" t="s">
        <v>551</v>
      </c>
      <c r="E39" s="546">
        <v>1000010638</v>
      </c>
      <c r="F39" s="538" t="s">
        <v>505</v>
      </c>
      <c r="G39" s="546" t="s">
        <v>300</v>
      </c>
      <c r="H39" s="546">
        <v>2</v>
      </c>
      <c r="I39" s="547"/>
      <c r="J39" s="548" t="str">
        <f t="shared" si="0"/>
        <v>INCLUDED</v>
      </c>
    </row>
    <row r="40" spans="1:10" ht="31.5">
      <c r="A40" s="734">
        <f>'Sch-1'!A40</f>
        <v>23</v>
      </c>
      <c r="B40" s="546">
        <v>7000018791</v>
      </c>
      <c r="C40" s="546">
        <v>230</v>
      </c>
      <c r="D40" s="546" t="s">
        <v>551</v>
      </c>
      <c r="E40" s="546">
        <v>1000017887</v>
      </c>
      <c r="F40" s="538" t="s">
        <v>583</v>
      </c>
      <c r="G40" s="546" t="s">
        <v>300</v>
      </c>
      <c r="H40" s="546">
        <v>2</v>
      </c>
      <c r="I40" s="547"/>
      <c r="J40" s="548" t="str">
        <f t="shared" si="0"/>
        <v>INCLUDED</v>
      </c>
    </row>
    <row r="41" spans="1:10" ht="31.5">
      <c r="A41" s="734">
        <f>'Sch-1'!A41</f>
        <v>24</v>
      </c>
      <c r="B41" s="546">
        <v>7000018791</v>
      </c>
      <c r="C41" s="546">
        <v>240</v>
      </c>
      <c r="D41" s="546" t="s">
        <v>551</v>
      </c>
      <c r="E41" s="546">
        <v>1000000046</v>
      </c>
      <c r="F41" s="538" t="s">
        <v>510</v>
      </c>
      <c r="G41" s="546" t="s">
        <v>300</v>
      </c>
      <c r="H41" s="546">
        <v>2</v>
      </c>
      <c r="I41" s="547"/>
      <c r="J41" s="548" t="str">
        <f t="shared" si="0"/>
        <v>INCLUDED</v>
      </c>
    </row>
    <row r="42" spans="1:10" ht="31.5">
      <c r="A42" s="734">
        <f>'Sch-1'!A42</f>
        <v>25</v>
      </c>
      <c r="B42" s="546">
        <v>7000018791</v>
      </c>
      <c r="C42" s="546">
        <v>250</v>
      </c>
      <c r="D42" s="546" t="s">
        <v>551</v>
      </c>
      <c r="E42" s="546">
        <v>1000010014</v>
      </c>
      <c r="F42" s="538" t="s">
        <v>504</v>
      </c>
      <c r="G42" s="546" t="s">
        <v>301</v>
      </c>
      <c r="H42" s="546">
        <v>2</v>
      </c>
      <c r="I42" s="547"/>
      <c r="J42" s="548" t="str">
        <f t="shared" si="0"/>
        <v>INCLUDED</v>
      </c>
    </row>
    <row r="43" spans="1:10" ht="31.5">
      <c r="A43" s="734">
        <f>'Sch-1'!A43</f>
        <v>26</v>
      </c>
      <c r="B43" s="546">
        <v>7000018791</v>
      </c>
      <c r="C43" s="546">
        <v>260</v>
      </c>
      <c r="D43" s="546" t="s">
        <v>551</v>
      </c>
      <c r="E43" s="546">
        <v>1000004289</v>
      </c>
      <c r="F43" s="538" t="s">
        <v>584</v>
      </c>
      <c r="G43" s="546" t="s">
        <v>300</v>
      </c>
      <c r="H43" s="546">
        <v>4</v>
      </c>
      <c r="I43" s="547"/>
      <c r="J43" s="548" t="str">
        <f t="shared" si="0"/>
        <v>INCLUDED</v>
      </c>
    </row>
    <row r="44" spans="1:10" ht="31.5">
      <c r="A44" s="734">
        <f>'Sch-1'!A44</f>
        <v>27</v>
      </c>
      <c r="B44" s="546">
        <v>7000018791</v>
      </c>
      <c r="C44" s="546">
        <v>270</v>
      </c>
      <c r="D44" s="546" t="s">
        <v>552</v>
      </c>
      <c r="E44" s="546">
        <v>1000000443</v>
      </c>
      <c r="F44" s="538" t="s">
        <v>480</v>
      </c>
      <c r="G44" s="546" t="s">
        <v>479</v>
      </c>
      <c r="H44" s="546">
        <v>1</v>
      </c>
      <c r="I44" s="547"/>
      <c r="J44" s="548" t="str">
        <f t="shared" si="0"/>
        <v>INCLUDED</v>
      </c>
    </row>
    <row r="45" spans="1:10" ht="31.5">
      <c r="A45" s="734">
        <f>'Sch-1'!A45</f>
        <v>28</v>
      </c>
      <c r="B45" s="546">
        <v>7000018791</v>
      </c>
      <c r="C45" s="546">
        <v>280</v>
      </c>
      <c r="D45" s="546" t="s">
        <v>552</v>
      </c>
      <c r="E45" s="546">
        <v>1000000442</v>
      </c>
      <c r="F45" s="538" t="s">
        <v>481</v>
      </c>
      <c r="G45" s="546" t="s">
        <v>479</v>
      </c>
      <c r="H45" s="546">
        <v>1</v>
      </c>
      <c r="I45" s="547"/>
      <c r="J45" s="548" t="str">
        <f t="shared" si="0"/>
        <v>INCLUDED</v>
      </c>
    </row>
    <row r="46" spans="1:10" ht="31.5">
      <c r="A46" s="734">
        <f>'Sch-1'!A46</f>
        <v>29</v>
      </c>
      <c r="B46" s="546">
        <v>7000018791</v>
      </c>
      <c r="C46" s="546">
        <v>290</v>
      </c>
      <c r="D46" s="546" t="s">
        <v>553</v>
      </c>
      <c r="E46" s="546">
        <v>1000012025</v>
      </c>
      <c r="F46" s="538" t="s">
        <v>585</v>
      </c>
      <c r="G46" s="546" t="s">
        <v>300</v>
      </c>
      <c r="H46" s="546">
        <v>1</v>
      </c>
      <c r="I46" s="547"/>
      <c r="J46" s="548" t="str">
        <f t="shared" si="0"/>
        <v>INCLUDED</v>
      </c>
    </row>
    <row r="47" spans="1:10" ht="31.5">
      <c r="A47" s="734">
        <f>'Sch-1'!A47</f>
        <v>30</v>
      </c>
      <c r="B47" s="546">
        <v>7000018791</v>
      </c>
      <c r="C47" s="546">
        <v>300</v>
      </c>
      <c r="D47" s="546" t="s">
        <v>553</v>
      </c>
      <c r="E47" s="546">
        <v>1000012023</v>
      </c>
      <c r="F47" s="538" t="s">
        <v>586</v>
      </c>
      <c r="G47" s="546" t="s">
        <v>300</v>
      </c>
      <c r="H47" s="546">
        <v>2</v>
      </c>
      <c r="I47" s="547"/>
      <c r="J47" s="548" t="str">
        <f t="shared" si="0"/>
        <v>INCLUDED</v>
      </c>
    </row>
    <row r="48" spans="1:10" ht="31.5">
      <c r="A48" s="734">
        <f>'Sch-1'!A48</f>
        <v>31</v>
      </c>
      <c r="B48" s="546">
        <v>7000018791</v>
      </c>
      <c r="C48" s="546">
        <v>310</v>
      </c>
      <c r="D48" s="546" t="s">
        <v>554</v>
      </c>
      <c r="E48" s="546">
        <v>1000038325</v>
      </c>
      <c r="F48" s="538" t="s">
        <v>587</v>
      </c>
      <c r="G48" s="546" t="s">
        <v>300</v>
      </c>
      <c r="H48" s="546">
        <v>8</v>
      </c>
      <c r="I48" s="547"/>
      <c r="J48" s="548" t="str">
        <f t="shared" si="0"/>
        <v>INCLUDED</v>
      </c>
    </row>
    <row r="49" spans="1:28" ht="31.5">
      <c r="A49" s="734">
        <f>'Sch-1'!A49</f>
        <v>32</v>
      </c>
      <c r="B49" s="546">
        <v>7000018791</v>
      </c>
      <c r="C49" s="546">
        <v>320</v>
      </c>
      <c r="D49" s="546" t="s">
        <v>554</v>
      </c>
      <c r="E49" s="546">
        <v>1000020262</v>
      </c>
      <c r="F49" s="538" t="s">
        <v>478</v>
      </c>
      <c r="G49" s="546" t="s">
        <v>300</v>
      </c>
      <c r="H49" s="546">
        <v>2</v>
      </c>
      <c r="I49" s="547"/>
      <c r="J49" s="548" t="str">
        <f t="shared" si="0"/>
        <v>INCLUDED</v>
      </c>
    </row>
    <row r="50" spans="1:28" ht="31.5">
      <c r="A50" s="734">
        <f>'Sch-1'!A50</f>
        <v>33</v>
      </c>
      <c r="B50" s="546">
        <v>7000018791</v>
      </c>
      <c r="C50" s="546">
        <v>330</v>
      </c>
      <c r="D50" s="546" t="s">
        <v>554</v>
      </c>
      <c r="E50" s="546">
        <v>1000038387</v>
      </c>
      <c r="F50" s="538" t="s">
        <v>588</v>
      </c>
      <c r="G50" s="546" t="s">
        <v>300</v>
      </c>
      <c r="H50" s="546">
        <v>4</v>
      </c>
      <c r="I50" s="547"/>
      <c r="J50" s="548" t="str">
        <f t="shared" si="0"/>
        <v>INCLUDED</v>
      </c>
    </row>
    <row r="51" spans="1:28" ht="63">
      <c r="A51" s="734">
        <f>'Sch-1'!A51</f>
        <v>34</v>
      </c>
      <c r="B51" s="546">
        <v>7000018791</v>
      </c>
      <c r="C51" s="546">
        <v>340</v>
      </c>
      <c r="D51" s="546" t="s">
        <v>555</v>
      </c>
      <c r="E51" s="546">
        <v>1000020123</v>
      </c>
      <c r="F51" s="538" t="s">
        <v>589</v>
      </c>
      <c r="G51" s="546" t="s">
        <v>300</v>
      </c>
      <c r="H51" s="546">
        <v>2</v>
      </c>
      <c r="I51" s="547"/>
      <c r="J51" s="548" t="str">
        <f t="shared" si="0"/>
        <v>INCLUDED</v>
      </c>
    </row>
    <row r="52" spans="1:28" ht="63">
      <c r="A52" s="734">
        <f>'Sch-1'!A52</f>
        <v>35</v>
      </c>
      <c r="B52" s="546">
        <v>7000018791</v>
      </c>
      <c r="C52" s="546">
        <v>350</v>
      </c>
      <c r="D52" s="546" t="s">
        <v>555</v>
      </c>
      <c r="E52" s="546">
        <v>1000020124</v>
      </c>
      <c r="F52" s="538" t="s">
        <v>590</v>
      </c>
      <c r="G52" s="546" t="s">
        <v>300</v>
      </c>
      <c r="H52" s="546">
        <v>1</v>
      </c>
      <c r="I52" s="547"/>
      <c r="J52" s="548" t="str">
        <f t="shared" si="0"/>
        <v>INCLUDED</v>
      </c>
    </row>
    <row r="53" spans="1:28" s="778" customFormat="1" ht="63">
      <c r="A53" s="734">
        <f>'Sch-1'!A53</f>
        <v>36</v>
      </c>
      <c r="B53" s="546">
        <v>7000018791</v>
      </c>
      <c r="C53" s="546">
        <v>360</v>
      </c>
      <c r="D53" s="546" t="s">
        <v>555</v>
      </c>
      <c r="E53" s="546">
        <v>1000020118</v>
      </c>
      <c r="F53" s="538" t="s">
        <v>591</v>
      </c>
      <c r="G53" s="546" t="s">
        <v>300</v>
      </c>
      <c r="H53" s="546">
        <v>2</v>
      </c>
      <c r="I53" s="547"/>
      <c r="J53" s="548" t="str">
        <f t="shared" si="0"/>
        <v>INCLUDED</v>
      </c>
      <c r="K53" s="776" t="s">
        <v>521</v>
      </c>
      <c r="L53" s="776"/>
      <c r="M53" s="776"/>
      <c r="N53" s="776"/>
      <c r="O53" s="776"/>
      <c r="P53" s="776"/>
      <c r="Q53" s="776"/>
      <c r="R53" s="777"/>
      <c r="S53" s="777"/>
      <c r="T53" s="777"/>
      <c r="U53" s="777"/>
      <c r="V53" s="777"/>
      <c r="W53" s="777"/>
      <c r="X53" s="777"/>
      <c r="Y53" s="777"/>
      <c r="Z53" s="777"/>
      <c r="AA53" s="777"/>
      <c r="AB53" s="777"/>
    </row>
    <row r="54" spans="1:28" ht="31.5">
      <c r="A54" s="734">
        <f>'Sch-1'!A54</f>
        <v>37</v>
      </c>
      <c r="B54" s="546">
        <v>7000018791</v>
      </c>
      <c r="C54" s="546">
        <v>370</v>
      </c>
      <c r="D54" s="546" t="s">
        <v>556</v>
      </c>
      <c r="E54" s="546">
        <v>1000017567</v>
      </c>
      <c r="F54" s="538" t="s">
        <v>592</v>
      </c>
      <c r="G54" s="546" t="s">
        <v>300</v>
      </c>
      <c r="H54" s="546">
        <v>40</v>
      </c>
      <c r="I54" s="547"/>
      <c r="J54" s="548" t="str">
        <f t="shared" si="0"/>
        <v>INCLUDED</v>
      </c>
    </row>
    <row r="55" spans="1:28" ht="63">
      <c r="A55" s="734">
        <f>'Sch-1'!A55</f>
        <v>38</v>
      </c>
      <c r="B55" s="546">
        <v>7000018791</v>
      </c>
      <c r="C55" s="546">
        <v>380</v>
      </c>
      <c r="D55" s="546" t="s">
        <v>556</v>
      </c>
      <c r="E55" s="546">
        <v>1000020193</v>
      </c>
      <c r="F55" s="538" t="s">
        <v>593</v>
      </c>
      <c r="G55" s="546" t="s">
        <v>300</v>
      </c>
      <c r="H55" s="546">
        <v>6</v>
      </c>
      <c r="I55" s="547"/>
      <c r="J55" s="548" t="str">
        <f t="shared" si="0"/>
        <v>INCLUDED</v>
      </c>
    </row>
    <row r="56" spans="1:28" ht="63">
      <c r="A56" s="734">
        <f>'Sch-1'!A56</f>
        <v>39</v>
      </c>
      <c r="B56" s="546">
        <v>7000018791</v>
      </c>
      <c r="C56" s="546">
        <v>390</v>
      </c>
      <c r="D56" s="546" t="s">
        <v>556</v>
      </c>
      <c r="E56" s="546">
        <v>1000020195</v>
      </c>
      <c r="F56" s="538" t="s">
        <v>594</v>
      </c>
      <c r="G56" s="546" t="s">
        <v>300</v>
      </c>
      <c r="H56" s="546">
        <v>6</v>
      </c>
      <c r="I56" s="547"/>
      <c r="J56" s="548" t="str">
        <f t="shared" si="0"/>
        <v>INCLUDED</v>
      </c>
    </row>
    <row r="57" spans="1:28" ht="31.5">
      <c r="A57" s="734">
        <f>'Sch-1'!A57</f>
        <v>40</v>
      </c>
      <c r="B57" s="546">
        <v>7000018791</v>
      </c>
      <c r="C57" s="546">
        <v>400</v>
      </c>
      <c r="D57" s="546" t="s">
        <v>556</v>
      </c>
      <c r="E57" s="546">
        <v>1000017568</v>
      </c>
      <c r="F57" s="538" t="s">
        <v>595</v>
      </c>
      <c r="G57" s="546" t="s">
        <v>300</v>
      </c>
      <c r="H57" s="546">
        <v>4</v>
      </c>
      <c r="I57" s="547"/>
      <c r="J57" s="548" t="str">
        <f t="shared" si="0"/>
        <v>INCLUDED</v>
      </c>
    </row>
    <row r="58" spans="1:28" ht="31.5">
      <c r="A58" s="734">
        <f>'Sch-1'!A58</f>
        <v>41</v>
      </c>
      <c r="B58" s="546">
        <v>7000018791</v>
      </c>
      <c r="C58" s="546">
        <v>520</v>
      </c>
      <c r="D58" s="546" t="s">
        <v>557</v>
      </c>
      <c r="E58" s="546">
        <v>1000024186</v>
      </c>
      <c r="F58" s="538" t="s">
        <v>596</v>
      </c>
      <c r="G58" s="546" t="s">
        <v>479</v>
      </c>
      <c r="H58" s="546">
        <v>1</v>
      </c>
      <c r="I58" s="547"/>
      <c r="J58" s="548" t="str">
        <f t="shared" si="0"/>
        <v>INCLUDED</v>
      </c>
    </row>
    <row r="59" spans="1:28" ht="31.5">
      <c r="A59" s="734">
        <f>'Sch-1'!A59</f>
        <v>42</v>
      </c>
      <c r="B59" s="546">
        <v>7000018791</v>
      </c>
      <c r="C59" s="546">
        <v>530</v>
      </c>
      <c r="D59" s="546" t="s">
        <v>557</v>
      </c>
      <c r="E59" s="546">
        <v>1000025949</v>
      </c>
      <c r="F59" s="538" t="s">
        <v>597</v>
      </c>
      <c r="G59" s="546" t="s">
        <v>301</v>
      </c>
      <c r="H59" s="546">
        <v>1</v>
      </c>
      <c r="I59" s="547"/>
      <c r="J59" s="548" t="str">
        <f t="shared" si="0"/>
        <v>INCLUDED</v>
      </c>
    </row>
    <row r="60" spans="1:28" ht="31.5">
      <c r="A60" s="734">
        <f>'Sch-1'!A60</f>
        <v>43</v>
      </c>
      <c r="B60" s="546">
        <v>7000018791</v>
      </c>
      <c r="C60" s="546">
        <v>540</v>
      </c>
      <c r="D60" s="546" t="s">
        <v>557</v>
      </c>
      <c r="E60" s="546">
        <v>1000025943</v>
      </c>
      <c r="F60" s="538" t="s">
        <v>598</v>
      </c>
      <c r="G60" s="546" t="s">
        <v>301</v>
      </c>
      <c r="H60" s="546">
        <v>1</v>
      </c>
      <c r="I60" s="547"/>
      <c r="J60" s="548" t="str">
        <f t="shared" si="0"/>
        <v>INCLUDED</v>
      </c>
    </row>
    <row r="61" spans="1:28" ht="31.5">
      <c r="A61" s="734">
        <f>'Sch-1'!A61</f>
        <v>44</v>
      </c>
      <c r="B61" s="546">
        <v>7000018791</v>
      </c>
      <c r="C61" s="546">
        <v>550</v>
      </c>
      <c r="D61" s="546" t="s">
        <v>557</v>
      </c>
      <c r="E61" s="546">
        <v>1000025950</v>
      </c>
      <c r="F61" s="538" t="s">
        <v>599</v>
      </c>
      <c r="G61" s="546" t="s">
        <v>301</v>
      </c>
      <c r="H61" s="546">
        <v>1</v>
      </c>
      <c r="I61" s="547"/>
      <c r="J61" s="548" t="str">
        <f t="shared" si="0"/>
        <v>INCLUDED</v>
      </c>
    </row>
    <row r="62" spans="1:28" ht="31.5">
      <c r="A62" s="734">
        <f>'Sch-1'!A62</f>
        <v>45</v>
      </c>
      <c r="B62" s="546">
        <v>7000018791</v>
      </c>
      <c r="C62" s="546">
        <v>560</v>
      </c>
      <c r="D62" s="546" t="s">
        <v>558</v>
      </c>
      <c r="E62" s="546">
        <v>1000018982</v>
      </c>
      <c r="F62" s="538" t="s">
        <v>600</v>
      </c>
      <c r="G62" s="546" t="s">
        <v>301</v>
      </c>
      <c r="H62" s="546">
        <v>1</v>
      </c>
      <c r="I62" s="547"/>
      <c r="J62" s="548" t="str">
        <f t="shared" si="0"/>
        <v>INCLUDED</v>
      </c>
    </row>
    <row r="63" spans="1:28" ht="31.5">
      <c r="A63" s="734">
        <f>'Sch-1'!A63</f>
        <v>46</v>
      </c>
      <c r="B63" s="546">
        <v>7000018791</v>
      </c>
      <c r="C63" s="546">
        <v>570</v>
      </c>
      <c r="D63" s="546" t="s">
        <v>558</v>
      </c>
      <c r="E63" s="546">
        <v>1000019006</v>
      </c>
      <c r="F63" s="538" t="s">
        <v>601</v>
      </c>
      <c r="G63" s="546" t="s">
        <v>301</v>
      </c>
      <c r="H63" s="546">
        <v>2</v>
      </c>
      <c r="I63" s="547"/>
      <c r="J63" s="548" t="str">
        <f t="shared" si="0"/>
        <v>INCLUDED</v>
      </c>
    </row>
    <row r="64" spans="1:28" ht="31.5">
      <c r="A64" s="734">
        <f>'Sch-1'!A64</f>
        <v>47</v>
      </c>
      <c r="B64" s="546">
        <v>7000018791</v>
      </c>
      <c r="C64" s="546">
        <v>580</v>
      </c>
      <c r="D64" s="546" t="s">
        <v>558</v>
      </c>
      <c r="E64" s="546">
        <v>1000010010</v>
      </c>
      <c r="F64" s="538" t="s">
        <v>602</v>
      </c>
      <c r="G64" s="546" t="s">
        <v>301</v>
      </c>
      <c r="H64" s="546">
        <v>1</v>
      </c>
      <c r="I64" s="547"/>
      <c r="J64" s="548" t="str">
        <f t="shared" si="0"/>
        <v>INCLUDED</v>
      </c>
    </row>
    <row r="65" spans="1:10" ht="31.5">
      <c r="A65" s="734">
        <f>'Sch-1'!A65</f>
        <v>48</v>
      </c>
      <c r="B65" s="546">
        <v>7000018791</v>
      </c>
      <c r="C65" s="546">
        <v>590</v>
      </c>
      <c r="D65" s="546" t="s">
        <v>558</v>
      </c>
      <c r="E65" s="546">
        <v>1000013093</v>
      </c>
      <c r="F65" s="538" t="s">
        <v>603</v>
      </c>
      <c r="G65" s="546" t="s">
        <v>301</v>
      </c>
      <c r="H65" s="546">
        <v>2</v>
      </c>
      <c r="I65" s="547"/>
      <c r="J65" s="548" t="str">
        <f t="shared" si="0"/>
        <v>INCLUDED</v>
      </c>
    </row>
    <row r="66" spans="1:10" ht="31.5">
      <c r="A66" s="734">
        <f>'Sch-1'!A66</f>
        <v>49</v>
      </c>
      <c r="B66" s="546">
        <v>7000018791</v>
      </c>
      <c r="C66" s="546">
        <v>600</v>
      </c>
      <c r="D66" s="546" t="s">
        <v>558</v>
      </c>
      <c r="E66" s="546">
        <v>1000018981</v>
      </c>
      <c r="F66" s="538" t="s">
        <v>604</v>
      </c>
      <c r="G66" s="546" t="s">
        <v>301</v>
      </c>
      <c r="H66" s="546">
        <v>1</v>
      </c>
      <c r="I66" s="547"/>
      <c r="J66" s="548" t="str">
        <f t="shared" si="0"/>
        <v>INCLUDED</v>
      </c>
    </row>
    <row r="67" spans="1:10" ht="31.5">
      <c r="A67" s="734">
        <f>'Sch-1'!A67</f>
        <v>50</v>
      </c>
      <c r="B67" s="546">
        <v>7000018791</v>
      </c>
      <c r="C67" s="546">
        <v>610</v>
      </c>
      <c r="D67" s="546" t="s">
        <v>558</v>
      </c>
      <c r="E67" s="546">
        <v>1000009686</v>
      </c>
      <c r="F67" s="538" t="s">
        <v>605</v>
      </c>
      <c r="G67" s="546" t="s">
        <v>301</v>
      </c>
      <c r="H67" s="546">
        <v>2</v>
      </c>
      <c r="I67" s="547"/>
      <c r="J67" s="548" t="str">
        <f t="shared" si="0"/>
        <v>INCLUDED</v>
      </c>
    </row>
    <row r="68" spans="1:10" ht="47.25">
      <c r="A68" s="734">
        <f>'Sch-1'!A68</f>
        <v>51</v>
      </c>
      <c r="B68" s="546">
        <v>7000018791</v>
      </c>
      <c r="C68" s="546">
        <v>620</v>
      </c>
      <c r="D68" s="546" t="s">
        <v>558</v>
      </c>
      <c r="E68" s="546">
        <v>1000014163</v>
      </c>
      <c r="F68" s="538" t="s">
        <v>606</v>
      </c>
      <c r="G68" s="546" t="s">
        <v>301</v>
      </c>
      <c r="H68" s="546">
        <v>2</v>
      </c>
      <c r="I68" s="547"/>
      <c r="J68" s="548" t="str">
        <f t="shared" si="0"/>
        <v>INCLUDED</v>
      </c>
    </row>
    <row r="69" spans="1:10" ht="31.5">
      <c r="A69" s="734">
        <f>'Sch-1'!A69</f>
        <v>52</v>
      </c>
      <c r="B69" s="546">
        <v>7000018791</v>
      </c>
      <c r="C69" s="546">
        <v>630</v>
      </c>
      <c r="D69" s="546" t="s">
        <v>558</v>
      </c>
      <c r="E69" s="546">
        <v>1000007971</v>
      </c>
      <c r="F69" s="538" t="s">
        <v>607</v>
      </c>
      <c r="G69" s="546" t="s">
        <v>300</v>
      </c>
      <c r="H69" s="546">
        <v>3</v>
      </c>
      <c r="I69" s="547"/>
      <c r="J69" s="548" t="str">
        <f t="shared" si="0"/>
        <v>INCLUDED</v>
      </c>
    </row>
    <row r="70" spans="1:10" ht="31.5">
      <c r="A70" s="734">
        <f>'Sch-1'!A70</f>
        <v>53</v>
      </c>
      <c r="B70" s="546">
        <v>7000018791</v>
      </c>
      <c r="C70" s="546">
        <v>640</v>
      </c>
      <c r="D70" s="546" t="s">
        <v>558</v>
      </c>
      <c r="E70" s="546">
        <v>1000018984</v>
      </c>
      <c r="F70" s="538" t="s">
        <v>608</v>
      </c>
      <c r="G70" s="546" t="s">
        <v>506</v>
      </c>
      <c r="H70" s="546">
        <v>1</v>
      </c>
      <c r="I70" s="547"/>
      <c r="J70" s="548" t="str">
        <f t="shared" si="0"/>
        <v>INCLUDED</v>
      </c>
    </row>
    <row r="71" spans="1:10" ht="47.25">
      <c r="A71" s="734">
        <f>'Sch-1'!A71</f>
        <v>54</v>
      </c>
      <c r="B71" s="546">
        <v>7000018791</v>
      </c>
      <c r="C71" s="546">
        <v>650</v>
      </c>
      <c r="D71" s="546" t="s">
        <v>558</v>
      </c>
      <c r="E71" s="546">
        <v>1000045934</v>
      </c>
      <c r="F71" s="538" t="s">
        <v>609</v>
      </c>
      <c r="G71" s="546" t="s">
        <v>301</v>
      </c>
      <c r="H71" s="546">
        <v>2</v>
      </c>
      <c r="I71" s="547"/>
      <c r="J71" s="548" t="str">
        <f t="shared" si="0"/>
        <v>INCLUDED</v>
      </c>
    </row>
    <row r="72" spans="1:10" ht="31.5">
      <c r="A72" s="734">
        <f>'Sch-1'!A72</f>
        <v>55</v>
      </c>
      <c r="B72" s="546">
        <v>7000018791</v>
      </c>
      <c r="C72" s="546">
        <v>660</v>
      </c>
      <c r="D72" s="546" t="s">
        <v>558</v>
      </c>
      <c r="E72" s="546">
        <v>1000045936</v>
      </c>
      <c r="F72" s="538" t="s">
        <v>610</v>
      </c>
      <c r="G72" s="546" t="s">
        <v>301</v>
      </c>
      <c r="H72" s="546">
        <v>1</v>
      </c>
      <c r="I72" s="547"/>
      <c r="J72" s="548" t="str">
        <f t="shared" si="0"/>
        <v>INCLUDED</v>
      </c>
    </row>
    <row r="73" spans="1:10" ht="31.5">
      <c r="A73" s="734">
        <f>'Sch-1'!A73</f>
        <v>56</v>
      </c>
      <c r="B73" s="546">
        <v>7000018791</v>
      </c>
      <c r="C73" s="546">
        <v>670</v>
      </c>
      <c r="D73" s="546" t="s">
        <v>558</v>
      </c>
      <c r="E73" s="546">
        <v>1000045937</v>
      </c>
      <c r="F73" s="538" t="s">
        <v>611</v>
      </c>
      <c r="G73" s="546" t="s">
        <v>301</v>
      </c>
      <c r="H73" s="546">
        <v>1</v>
      </c>
      <c r="I73" s="547"/>
      <c r="J73" s="548" t="str">
        <f t="shared" si="0"/>
        <v>INCLUDED</v>
      </c>
    </row>
    <row r="74" spans="1:10" ht="31.5">
      <c r="A74" s="734">
        <f>'Sch-1'!A74</f>
        <v>57</v>
      </c>
      <c r="B74" s="546">
        <v>7000018791</v>
      </c>
      <c r="C74" s="546">
        <v>680</v>
      </c>
      <c r="D74" s="546" t="s">
        <v>558</v>
      </c>
      <c r="E74" s="546">
        <v>1000045939</v>
      </c>
      <c r="F74" s="538" t="s">
        <v>612</v>
      </c>
      <c r="G74" s="546" t="s">
        <v>300</v>
      </c>
      <c r="H74" s="546">
        <v>3</v>
      </c>
      <c r="I74" s="547"/>
      <c r="J74" s="548" t="str">
        <f t="shared" si="0"/>
        <v>INCLUDED</v>
      </c>
    </row>
    <row r="75" spans="1:10" ht="47.25">
      <c r="A75" s="734">
        <f>'Sch-1'!A75</f>
        <v>58</v>
      </c>
      <c r="B75" s="546">
        <v>7000018791</v>
      </c>
      <c r="C75" s="546">
        <v>690</v>
      </c>
      <c r="D75" s="546" t="s">
        <v>558</v>
      </c>
      <c r="E75" s="546">
        <v>1000045940</v>
      </c>
      <c r="F75" s="538" t="s">
        <v>613</v>
      </c>
      <c r="G75" s="546" t="s">
        <v>301</v>
      </c>
      <c r="H75" s="546">
        <v>1</v>
      </c>
      <c r="I75" s="547"/>
      <c r="J75" s="548" t="str">
        <f t="shared" si="0"/>
        <v>INCLUDED</v>
      </c>
    </row>
    <row r="76" spans="1:10" ht="31.5">
      <c r="A76" s="734">
        <f>'Sch-1'!A76</f>
        <v>59</v>
      </c>
      <c r="B76" s="546">
        <v>7000018791</v>
      </c>
      <c r="C76" s="546">
        <v>700</v>
      </c>
      <c r="D76" s="546" t="s">
        <v>558</v>
      </c>
      <c r="E76" s="546">
        <v>1000045941</v>
      </c>
      <c r="F76" s="538" t="s">
        <v>614</v>
      </c>
      <c r="G76" s="546" t="s">
        <v>301</v>
      </c>
      <c r="H76" s="546">
        <v>1</v>
      </c>
      <c r="I76" s="547"/>
      <c r="J76" s="548" t="str">
        <f t="shared" si="0"/>
        <v>INCLUDED</v>
      </c>
    </row>
    <row r="77" spans="1:10" ht="31.5">
      <c r="A77" s="734">
        <f>'Sch-1'!A77</f>
        <v>60</v>
      </c>
      <c r="B77" s="546">
        <v>7000018791</v>
      </c>
      <c r="C77" s="546">
        <v>710</v>
      </c>
      <c r="D77" s="546" t="s">
        <v>558</v>
      </c>
      <c r="E77" s="546">
        <v>1000045943</v>
      </c>
      <c r="F77" s="538" t="s">
        <v>615</v>
      </c>
      <c r="G77" s="546" t="s">
        <v>301</v>
      </c>
      <c r="H77" s="546">
        <v>3</v>
      </c>
      <c r="I77" s="547"/>
      <c r="J77" s="548" t="str">
        <f t="shared" si="0"/>
        <v>INCLUDED</v>
      </c>
    </row>
    <row r="78" spans="1:10" ht="31.5">
      <c r="A78" s="734">
        <f>'Sch-1'!A78</f>
        <v>61</v>
      </c>
      <c r="B78" s="546">
        <v>7000018791</v>
      </c>
      <c r="C78" s="546">
        <v>720</v>
      </c>
      <c r="D78" s="546" t="s">
        <v>558</v>
      </c>
      <c r="E78" s="546">
        <v>1000045945</v>
      </c>
      <c r="F78" s="538" t="s">
        <v>616</v>
      </c>
      <c r="G78" s="546" t="s">
        <v>300</v>
      </c>
      <c r="H78" s="546">
        <v>3</v>
      </c>
      <c r="I78" s="547"/>
      <c r="J78" s="548" t="str">
        <f t="shared" si="0"/>
        <v>INCLUDED</v>
      </c>
    </row>
    <row r="79" spans="1:10" ht="31.5">
      <c r="A79" s="734">
        <f>'Sch-1'!A79</f>
        <v>62</v>
      </c>
      <c r="B79" s="546">
        <v>7000018791</v>
      </c>
      <c r="C79" s="546">
        <v>730</v>
      </c>
      <c r="D79" s="546" t="s">
        <v>558</v>
      </c>
      <c r="E79" s="546">
        <v>1000009208</v>
      </c>
      <c r="F79" s="538" t="s">
        <v>617</v>
      </c>
      <c r="G79" s="546" t="s">
        <v>301</v>
      </c>
      <c r="H79" s="546">
        <v>3</v>
      </c>
      <c r="I79" s="547"/>
      <c r="J79" s="548" t="str">
        <f t="shared" si="0"/>
        <v>INCLUDED</v>
      </c>
    </row>
    <row r="80" spans="1:10" ht="31.5">
      <c r="A80" s="734">
        <f>'Sch-1'!A80</f>
        <v>63</v>
      </c>
      <c r="B80" s="546">
        <v>7000018791</v>
      </c>
      <c r="C80" s="546">
        <v>740</v>
      </c>
      <c r="D80" s="546" t="s">
        <v>558</v>
      </c>
      <c r="E80" s="546">
        <v>1000018374</v>
      </c>
      <c r="F80" s="538" t="s">
        <v>618</v>
      </c>
      <c r="G80" s="546" t="s">
        <v>301</v>
      </c>
      <c r="H80" s="546">
        <v>1</v>
      </c>
      <c r="I80" s="547"/>
      <c r="J80" s="548" t="str">
        <f t="shared" si="0"/>
        <v>INCLUDED</v>
      </c>
    </row>
    <row r="81" spans="1:10" ht="31.5">
      <c r="A81" s="734">
        <f>'Sch-1'!A81</f>
        <v>64</v>
      </c>
      <c r="B81" s="546">
        <v>7000018791</v>
      </c>
      <c r="C81" s="546">
        <v>750</v>
      </c>
      <c r="D81" s="546" t="s">
        <v>558</v>
      </c>
      <c r="E81" s="546">
        <v>1000021873</v>
      </c>
      <c r="F81" s="538" t="s">
        <v>619</v>
      </c>
      <c r="G81" s="546" t="s">
        <v>301</v>
      </c>
      <c r="H81" s="546">
        <v>3</v>
      </c>
      <c r="I81" s="547"/>
      <c r="J81" s="548" t="str">
        <f t="shared" si="0"/>
        <v>INCLUDED</v>
      </c>
    </row>
    <row r="82" spans="1:10" ht="31.5">
      <c r="A82" s="734">
        <f>'Sch-1'!A82</f>
        <v>65</v>
      </c>
      <c r="B82" s="546">
        <v>7000018791</v>
      </c>
      <c r="C82" s="546">
        <v>760</v>
      </c>
      <c r="D82" s="546" t="s">
        <v>558</v>
      </c>
      <c r="E82" s="546">
        <v>1000007067</v>
      </c>
      <c r="F82" s="538" t="s">
        <v>620</v>
      </c>
      <c r="G82" s="546" t="s">
        <v>301</v>
      </c>
      <c r="H82" s="546">
        <v>1</v>
      </c>
      <c r="I82" s="547"/>
      <c r="J82" s="548" t="str">
        <f t="shared" si="0"/>
        <v>INCLUDED</v>
      </c>
    </row>
    <row r="83" spans="1:10" ht="47.25">
      <c r="A83" s="734">
        <f>'Sch-1'!A83</f>
        <v>66</v>
      </c>
      <c r="B83" s="546">
        <v>7000018791</v>
      </c>
      <c r="C83" s="546">
        <v>770</v>
      </c>
      <c r="D83" s="546" t="s">
        <v>558</v>
      </c>
      <c r="E83" s="546">
        <v>1000004368</v>
      </c>
      <c r="F83" s="538" t="s">
        <v>621</v>
      </c>
      <c r="G83" s="546" t="s">
        <v>301</v>
      </c>
      <c r="H83" s="546">
        <v>2</v>
      </c>
      <c r="I83" s="547"/>
      <c r="J83" s="548" t="str">
        <f t="shared" si="0"/>
        <v>INCLUDED</v>
      </c>
    </row>
    <row r="84" spans="1:10" ht="31.5">
      <c r="A84" s="734">
        <f>'Sch-1'!A84</f>
        <v>67</v>
      </c>
      <c r="B84" s="546">
        <v>7000018791</v>
      </c>
      <c r="C84" s="546">
        <v>780</v>
      </c>
      <c r="D84" s="546" t="s">
        <v>558</v>
      </c>
      <c r="E84" s="546">
        <v>1000004364</v>
      </c>
      <c r="F84" s="538" t="s">
        <v>622</v>
      </c>
      <c r="G84" s="546" t="s">
        <v>301</v>
      </c>
      <c r="H84" s="546">
        <v>1</v>
      </c>
      <c r="I84" s="547"/>
      <c r="J84" s="548" t="str">
        <f t="shared" si="0"/>
        <v>INCLUDED</v>
      </c>
    </row>
    <row r="85" spans="1:10" ht="47.25">
      <c r="A85" s="734">
        <f>'Sch-1'!A85</f>
        <v>68</v>
      </c>
      <c r="B85" s="546">
        <v>7000018791</v>
      </c>
      <c r="C85" s="546">
        <v>790</v>
      </c>
      <c r="D85" s="546" t="s">
        <v>558</v>
      </c>
      <c r="E85" s="546">
        <v>1000009577</v>
      </c>
      <c r="F85" s="538" t="s">
        <v>623</v>
      </c>
      <c r="G85" s="546" t="s">
        <v>301</v>
      </c>
      <c r="H85" s="546">
        <v>1</v>
      </c>
      <c r="I85" s="547"/>
      <c r="J85" s="548" t="str">
        <f t="shared" si="0"/>
        <v>INCLUDED</v>
      </c>
    </row>
    <row r="86" spans="1:10" ht="31.5">
      <c r="A86" s="734">
        <f>'Sch-1'!A86</f>
        <v>69</v>
      </c>
      <c r="B86" s="546">
        <v>7000018791</v>
      </c>
      <c r="C86" s="546">
        <v>800</v>
      </c>
      <c r="D86" s="546" t="s">
        <v>558</v>
      </c>
      <c r="E86" s="546">
        <v>1000017962</v>
      </c>
      <c r="F86" s="538" t="s">
        <v>624</v>
      </c>
      <c r="G86" s="546" t="s">
        <v>301</v>
      </c>
      <c r="H86" s="546">
        <v>1</v>
      </c>
      <c r="I86" s="547"/>
      <c r="J86" s="548" t="str">
        <f t="shared" si="0"/>
        <v>INCLUDED</v>
      </c>
    </row>
    <row r="87" spans="1:10" ht="31.5">
      <c r="A87" s="734">
        <f>'Sch-1'!A87</f>
        <v>70</v>
      </c>
      <c r="B87" s="546">
        <v>7000018791</v>
      </c>
      <c r="C87" s="546">
        <v>810</v>
      </c>
      <c r="D87" s="546" t="s">
        <v>558</v>
      </c>
      <c r="E87" s="546">
        <v>1000014587</v>
      </c>
      <c r="F87" s="538" t="s">
        <v>625</v>
      </c>
      <c r="G87" s="546" t="s">
        <v>301</v>
      </c>
      <c r="H87" s="546">
        <v>1</v>
      </c>
      <c r="I87" s="547"/>
      <c r="J87" s="548" t="str">
        <f t="shared" si="0"/>
        <v>INCLUDED</v>
      </c>
    </row>
    <row r="88" spans="1:10" ht="31.5">
      <c r="A88" s="734">
        <f>'Sch-1'!A88</f>
        <v>71</v>
      </c>
      <c r="B88" s="546">
        <v>7000018791</v>
      </c>
      <c r="C88" s="546">
        <v>820</v>
      </c>
      <c r="D88" s="546" t="s">
        <v>558</v>
      </c>
      <c r="E88" s="546">
        <v>1000014586</v>
      </c>
      <c r="F88" s="538" t="s">
        <v>626</v>
      </c>
      <c r="G88" s="546" t="s">
        <v>301</v>
      </c>
      <c r="H88" s="546">
        <v>1</v>
      </c>
      <c r="I88" s="547"/>
      <c r="J88" s="548" t="str">
        <f t="shared" si="0"/>
        <v>INCLUDED</v>
      </c>
    </row>
    <row r="89" spans="1:10" ht="47.25">
      <c r="A89" s="734">
        <f>'Sch-1'!A89</f>
        <v>72</v>
      </c>
      <c r="B89" s="546">
        <v>7000018791</v>
      </c>
      <c r="C89" s="546">
        <v>830</v>
      </c>
      <c r="D89" s="546" t="s">
        <v>558</v>
      </c>
      <c r="E89" s="546">
        <v>1000014163</v>
      </c>
      <c r="F89" s="538" t="s">
        <v>606</v>
      </c>
      <c r="G89" s="546" t="s">
        <v>301</v>
      </c>
      <c r="H89" s="546">
        <v>1</v>
      </c>
      <c r="I89" s="547"/>
      <c r="J89" s="548" t="str">
        <f t="shared" si="0"/>
        <v>INCLUDED</v>
      </c>
    </row>
    <row r="90" spans="1:10" ht="78.75">
      <c r="A90" s="734">
        <f>'Sch-1'!A90</f>
        <v>73</v>
      </c>
      <c r="B90" s="546">
        <v>7000018791</v>
      </c>
      <c r="C90" s="546">
        <v>840</v>
      </c>
      <c r="D90" s="546" t="s">
        <v>558</v>
      </c>
      <c r="E90" s="546">
        <v>1000033117</v>
      </c>
      <c r="F90" s="538" t="s">
        <v>627</v>
      </c>
      <c r="G90" s="546" t="s">
        <v>301</v>
      </c>
      <c r="H90" s="546">
        <v>1</v>
      </c>
      <c r="I90" s="547"/>
      <c r="J90" s="548" t="str">
        <f t="shared" si="0"/>
        <v>INCLUDED</v>
      </c>
    </row>
    <row r="91" spans="1:10" ht="31.5">
      <c r="A91" s="734">
        <f>'Sch-1'!A91</f>
        <v>74</v>
      </c>
      <c r="B91" s="546">
        <v>7000018791</v>
      </c>
      <c r="C91" s="546">
        <v>850</v>
      </c>
      <c r="D91" s="546" t="s">
        <v>558</v>
      </c>
      <c r="E91" s="546">
        <v>1000029506</v>
      </c>
      <c r="F91" s="538" t="s">
        <v>568</v>
      </c>
      <c r="G91" s="546" t="s">
        <v>300</v>
      </c>
      <c r="H91" s="546">
        <v>1</v>
      </c>
      <c r="I91" s="547"/>
      <c r="J91" s="548" t="str">
        <f t="shared" si="0"/>
        <v>INCLUDED</v>
      </c>
    </row>
    <row r="92" spans="1:10" ht="47.25">
      <c r="A92" s="734">
        <f>'Sch-1'!A92</f>
        <v>75</v>
      </c>
      <c r="B92" s="546">
        <v>7000018791</v>
      </c>
      <c r="C92" s="546">
        <v>860</v>
      </c>
      <c r="D92" s="546" t="s">
        <v>558</v>
      </c>
      <c r="E92" s="546">
        <v>1000004630</v>
      </c>
      <c r="F92" s="538" t="s">
        <v>628</v>
      </c>
      <c r="G92" s="546" t="s">
        <v>300</v>
      </c>
      <c r="H92" s="546">
        <v>1</v>
      </c>
      <c r="I92" s="547"/>
      <c r="J92" s="548" t="str">
        <f t="shared" si="0"/>
        <v>INCLUDED</v>
      </c>
    </row>
    <row r="93" spans="1:10" ht="31.5">
      <c r="A93" s="734">
        <f>'Sch-1'!A93</f>
        <v>76</v>
      </c>
      <c r="B93" s="546">
        <v>7000018791</v>
      </c>
      <c r="C93" s="546">
        <v>870</v>
      </c>
      <c r="D93" s="546" t="s">
        <v>558</v>
      </c>
      <c r="E93" s="546">
        <v>1000032798</v>
      </c>
      <c r="F93" s="538" t="s">
        <v>571</v>
      </c>
      <c r="G93" s="546" t="s">
        <v>301</v>
      </c>
      <c r="H93" s="546">
        <v>1</v>
      </c>
      <c r="I93" s="547"/>
      <c r="J93" s="548" t="str">
        <f t="shared" si="0"/>
        <v>INCLUDED</v>
      </c>
    </row>
    <row r="94" spans="1:10" ht="31.5">
      <c r="A94" s="734">
        <f>'Sch-1'!A94</f>
        <v>77</v>
      </c>
      <c r="B94" s="546">
        <v>7000018791</v>
      </c>
      <c r="C94" s="546">
        <v>880</v>
      </c>
      <c r="D94" s="546" t="s">
        <v>559</v>
      </c>
      <c r="E94" s="546">
        <v>1000036908</v>
      </c>
      <c r="F94" s="538" t="s">
        <v>582</v>
      </c>
      <c r="G94" s="546" t="s">
        <v>302</v>
      </c>
      <c r="H94" s="546">
        <v>1</v>
      </c>
      <c r="I94" s="547"/>
      <c r="J94" s="548" t="str">
        <f t="shared" si="0"/>
        <v>INCLUDED</v>
      </c>
    </row>
    <row r="95" spans="1:10" ht="31.5">
      <c r="A95" s="734">
        <f>'Sch-1'!A95</f>
        <v>78</v>
      </c>
      <c r="B95" s="546">
        <v>7000018791</v>
      </c>
      <c r="C95" s="546">
        <v>890</v>
      </c>
      <c r="D95" s="546" t="s">
        <v>559</v>
      </c>
      <c r="E95" s="546">
        <v>1000010638</v>
      </c>
      <c r="F95" s="538" t="s">
        <v>505</v>
      </c>
      <c r="G95" s="546" t="s">
        <v>300</v>
      </c>
      <c r="H95" s="546">
        <v>2</v>
      </c>
      <c r="I95" s="547"/>
      <c r="J95" s="548" t="str">
        <f t="shared" si="0"/>
        <v>INCLUDED</v>
      </c>
    </row>
    <row r="96" spans="1:10" ht="31.5">
      <c r="A96" s="734">
        <f>'Sch-1'!A96</f>
        <v>79</v>
      </c>
      <c r="B96" s="546">
        <v>7000018791</v>
      </c>
      <c r="C96" s="546">
        <v>900</v>
      </c>
      <c r="D96" s="546" t="s">
        <v>559</v>
      </c>
      <c r="E96" s="546">
        <v>1000017887</v>
      </c>
      <c r="F96" s="538" t="s">
        <v>583</v>
      </c>
      <c r="G96" s="546" t="s">
        <v>300</v>
      </c>
      <c r="H96" s="546">
        <v>2</v>
      </c>
      <c r="I96" s="547"/>
      <c r="J96" s="548" t="str">
        <f t="shared" si="0"/>
        <v>INCLUDED</v>
      </c>
    </row>
    <row r="97" spans="1:10" ht="31.5">
      <c r="A97" s="734">
        <f>'Sch-1'!A97</f>
        <v>80</v>
      </c>
      <c r="B97" s="546">
        <v>7000018791</v>
      </c>
      <c r="C97" s="546">
        <v>910</v>
      </c>
      <c r="D97" s="546" t="s">
        <v>559</v>
      </c>
      <c r="E97" s="546">
        <v>1000000046</v>
      </c>
      <c r="F97" s="538" t="s">
        <v>510</v>
      </c>
      <c r="G97" s="546" t="s">
        <v>300</v>
      </c>
      <c r="H97" s="546">
        <v>2</v>
      </c>
      <c r="I97" s="547"/>
      <c r="J97" s="548" t="str">
        <f t="shared" si="0"/>
        <v>INCLUDED</v>
      </c>
    </row>
    <row r="98" spans="1:10" ht="31.5">
      <c r="A98" s="734">
        <f>'Sch-1'!A98</f>
        <v>81</v>
      </c>
      <c r="B98" s="546">
        <v>7000018791</v>
      </c>
      <c r="C98" s="546">
        <v>920</v>
      </c>
      <c r="D98" s="546" t="s">
        <v>559</v>
      </c>
      <c r="E98" s="546">
        <v>1000010014</v>
      </c>
      <c r="F98" s="538" t="s">
        <v>504</v>
      </c>
      <c r="G98" s="546" t="s">
        <v>301</v>
      </c>
      <c r="H98" s="546">
        <v>2</v>
      </c>
      <c r="I98" s="547"/>
      <c r="J98" s="548" t="str">
        <f t="shared" si="0"/>
        <v>INCLUDED</v>
      </c>
    </row>
    <row r="99" spans="1:10" ht="31.5">
      <c r="A99" s="734">
        <f>'Sch-1'!A99</f>
        <v>82</v>
      </c>
      <c r="B99" s="546">
        <v>7000018791</v>
      </c>
      <c r="C99" s="546">
        <v>930</v>
      </c>
      <c r="D99" s="546" t="s">
        <v>560</v>
      </c>
      <c r="E99" s="546">
        <v>1000030005</v>
      </c>
      <c r="F99" s="538" t="s">
        <v>629</v>
      </c>
      <c r="G99" s="546" t="s">
        <v>300</v>
      </c>
      <c r="H99" s="546">
        <v>1</v>
      </c>
      <c r="I99" s="547"/>
      <c r="J99" s="548" t="str">
        <f t="shared" si="0"/>
        <v>INCLUDED</v>
      </c>
    </row>
    <row r="100" spans="1:10">
      <c r="A100" s="734">
        <f>'Sch-1'!A100</f>
        <v>83</v>
      </c>
      <c r="B100" s="546">
        <v>7000018791</v>
      </c>
      <c r="C100" s="546">
        <v>960</v>
      </c>
      <c r="D100" s="546" t="s">
        <v>522</v>
      </c>
      <c r="E100" s="546">
        <v>1000004304</v>
      </c>
      <c r="F100" s="538" t="s">
        <v>527</v>
      </c>
      <c r="G100" s="546" t="s">
        <v>301</v>
      </c>
      <c r="H100" s="546">
        <v>1</v>
      </c>
      <c r="I100" s="547"/>
      <c r="J100" s="548" t="str">
        <f t="shared" si="0"/>
        <v>INCLUDED</v>
      </c>
    </row>
    <row r="101" spans="1:10">
      <c r="A101" s="734">
        <f>'Sch-1'!A101</f>
        <v>84</v>
      </c>
      <c r="B101" s="546">
        <v>7000018791</v>
      </c>
      <c r="C101" s="546">
        <v>970</v>
      </c>
      <c r="D101" s="546" t="s">
        <v>522</v>
      </c>
      <c r="E101" s="546">
        <v>1000004309</v>
      </c>
      <c r="F101" s="538" t="s">
        <v>630</v>
      </c>
      <c r="G101" s="546" t="s">
        <v>301</v>
      </c>
      <c r="H101" s="546">
        <v>1</v>
      </c>
      <c r="I101" s="547"/>
      <c r="J101" s="548" t="str">
        <f t="shared" si="0"/>
        <v>INCLUDED</v>
      </c>
    </row>
    <row r="102" spans="1:10" ht="126">
      <c r="A102" s="734">
        <f>'Sch-1'!A102</f>
        <v>85</v>
      </c>
      <c r="B102" s="546">
        <v>7000018791</v>
      </c>
      <c r="C102" s="546">
        <v>980</v>
      </c>
      <c r="D102" s="546" t="s">
        <v>561</v>
      </c>
      <c r="E102" s="546">
        <v>1000031367</v>
      </c>
      <c r="F102" s="538" t="s">
        <v>631</v>
      </c>
      <c r="G102" s="546" t="s">
        <v>300</v>
      </c>
      <c r="H102" s="546">
        <v>1</v>
      </c>
      <c r="I102" s="547"/>
      <c r="J102" s="548" t="str">
        <f t="shared" si="0"/>
        <v>INCLUDED</v>
      </c>
    </row>
    <row r="103" spans="1:10">
      <c r="A103" s="734">
        <f>'Sch-1'!A103</f>
        <v>86</v>
      </c>
      <c r="B103" s="546">
        <v>7000018791</v>
      </c>
      <c r="C103" s="546">
        <v>990</v>
      </c>
      <c r="D103" s="546" t="s">
        <v>561</v>
      </c>
      <c r="E103" s="546">
        <v>1000018706</v>
      </c>
      <c r="F103" s="538" t="s">
        <v>632</v>
      </c>
      <c r="G103" s="546" t="s">
        <v>300</v>
      </c>
      <c r="H103" s="546">
        <v>4</v>
      </c>
      <c r="I103" s="547"/>
      <c r="J103" s="548" t="str">
        <f t="shared" si="0"/>
        <v>INCLUDED</v>
      </c>
    </row>
    <row r="104" spans="1:10">
      <c r="A104" s="734">
        <f>'Sch-1'!A104</f>
        <v>87</v>
      </c>
      <c r="B104" s="546">
        <v>7000018791</v>
      </c>
      <c r="C104" s="546">
        <v>1000</v>
      </c>
      <c r="D104" s="546" t="s">
        <v>561</v>
      </c>
      <c r="E104" s="546">
        <v>1000019317</v>
      </c>
      <c r="F104" s="538" t="s">
        <v>633</v>
      </c>
      <c r="G104" s="546" t="s">
        <v>300</v>
      </c>
      <c r="H104" s="546">
        <v>4</v>
      </c>
      <c r="I104" s="547"/>
      <c r="J104" s="548" t="str">
        <f t="shared" si="0"/>
        <v>INCLUDED</v>
      </c>
    </row>
    <row r="105" spans="1:10" ht="31.5">
      <c r="A105" s="734">
        <f>'Sch-1'!A105</f>
        <v>88</v>
      </c>
      <c r="B105" s="546">
        <v>7000018791</v>
      </c>
      <c r="C105" s="546">
        <v>1010</v>
      </c>
      <c r="D105" s="546" t="s">
        <v>561</v>
      </c>
      <c r="E105" s="546">
        <v>1000031374</v>
      </c>
      <c r="F105" s="538" t="s">
        <v>634</v>
      </c>
      <c r="G105" s="546" t="s">
        <v>301</v>
      </c>
      <c r="H105" s="546">
        <v>2</v>
      </c>
      <c r="I105" s="547"/>
      <c r="J105" s="548" t="str">
        <f t="shared" si="0"/>
        <v>INCLUDED</v>
      </c>
    </row>
    <row r="106" spans="1:10" ht="31.5">
      <c r="A106" s="734">
        <f>'Sch-1'!A106</f>
        <v>89</v>
      </c>
      <c r="B106" s="546">
        <v>7000018791</v>
      </c>
      <c r="C106" s="546">
        <v>1020</v>
      </c>
      <c r="D106" s="546" t="s">
        <v>561</v>
      </c>
      <c r="E106" s="546">
        <v>1000034950</v>
      </c>
      <c r="F106" s="538" t="s">
        <v>635</v>
      </c>
      <c r="G106" s="546" t="s">
        <v>300</v>
      </c>
      <c r="H106" s="546">
        <v>2</v>
      </c>
      <c r="I106" s="547"/>
      <c r="J106" s="548" t="str">
        <f t="shared" si="0"/>
        <v>INCLUDED</v>
      </c>
    </row>
    <row r="107" spans="1:10" ht="47.25">
      <c r="A107" s="734">
        <f>'Sch-1'!A107</f>
        <v>90</v>
      </c>
      <c r="B107" s="546">
        <v>7000018791</v>
      </c>
      <c r="C107" s="546">
        <v>1030</v>
      </c>
      <c r="D107" s="546" t="s">
        <v>561</v>
      </c>
      <c r="E107" s="546">
        <v>1000031381</v>
      </c>
      <c r="F107" s="538" t="s">
        <v>636</v>
      </c>
      <c r="G107" s="546" t="s">
        <v>301</v>
      </c>
      <c r="H107" s="546">
        <v>1</v>
      </c>
      <c r="I107" s="547"/>
      <c r="J107" s="548" t="str">
        <f t="shared" si="0"/>
        <v>INCLUDED</v>
      </c>
    </row>
    <row r="108" spans="1:10">
      <c r="A108" s="734">
        <f>'Sch-1'!A108</f>
        <v>91</v>
      </c>
      <c r="B108" s="546">
        <v>7000018791</v>
      </c>
      <c r="C108" s="546">
        <v>1040</v>
      </c>
      <c r="D108" s="546" t="s">
        <v>561</v>
      </c>
      <c r="E108" s="546">
        <v>1000026228</v>
      </c>
      <c r="F108" s="538" t="s">
        <v>637</v>
      </c>
      <c r="G108" s="546" t="s">
        <v>300</v>
      </c>
      <c r="H108" s="546">
        <v>1</v>
      </c>
      <c r="I108" s="547"/>
      <c r="J108" s="548" t="str">
        <f t="shared" si="0"/>
        <v>INCLUDED</v>
      </c>
    </row>
    <row r="109" spans="1:10">
      <c r="A109" s="734">
        <f>'Sch-1'!A109</f>
        <v>92</v>
      </c>
      <c r="B109" s="546">
        <v>7000018791</v>
      </c>
      <c r="C109" s="546">
        <v>1050</v>
      </c>
      <c r="D109" s="546" t="s">
        <v>561</v>
      </c>
      <c r="E109" s="546">
        <v>1000028495</v>
      </c>
      <c r="F109" s="538" t="s">
        <v>638</v>
      </c>
      <c r="G109" s="546" t="s">
        <v>300</v>
      </c>
      <c r="H109" s="546">
        <v>1</v>
      </c>
      <c r="I109" s="547"/>
      <c r="J109" s="548" t="str">
        <f t="shared" si="0"/>
        <v>INCLUDED</v>
      </c>
    </row>
    <row r="110" spans="1:10">
      <c r="A110" s="734">
        <f>'Sch-1'!A110</f>
        <v>93</v>
      </c>
      <c r="B110" s="546">
        <v>7000018791</v>
      </c>
      <c r="C110" s="546">
        <v>1060</v>
      </c>
      <c r="D110" s="546" t="s">
        <v>561</v>
      </c>
      <c r="E110" s="546">
        <v>1000028265</v>
      </c>
      <c r="F110" s="538" t="s">
        <v>639</v>
      </c>
      <c r="G110" s="546" t="s">
        <v>300</v>
      </c>
      <c r="H110" s="546">
        <v>1</v>
      </c>
      <c r="I110" s="547"/>
      <c r="J110" s="548" t="str">
        <f t="shared" si="0"/>
        <v>INCLUDED</v>
      </c>
    </row>
    <row r="111" spans="1:10" ht="31.5">
      <c r="A111" s="734">
        <f>'Sch-1'!A111</f>
        <v>94</v>
      </c>
      <c r="B111" s="546">
        <v>7000018791</v>
      </c>
      <c r="C111" s="546">
        <v>1070</v>
      </c>
      <c r="D111" s="546" t="s">
        <v>561</v>
      </c>
      <c r="E111" s="546">
        <v>1000034998</v>
      </c>
      <c r="F111" s="538" t="s">
        <v>640</v>
      </c>
      <c r="G111" s="546" t="s">
        <v>300</v>
      </c>
      <c r="H111" s="546">
        <v>2</v>
      </c>
      <c r="I111" s="547"/>
      <c r="J111" s="548" t="str">
        <f t="shared" si="0"/>
        <v>INCLUDED</v>
      </c>
    </row>
    <row r="112" spans="1:10" ht="78.75">
      <c r="A112" s="734">
        <f>'Sch-1'!A112</f>
        <v>95</v>
      </c>
      <c r="B112" s="546">
        <v>7000018791</v>
      </c>
      <c r="C112" s="546">
        <v>1090</v>
      </c>
      <c r="D112" s="546" t="s">
        <v>562</v>
      </c>
      <c r="E112" s="546">
        <v>1000031369</v>
      </c>
      <c r="F112" s="538" t="s">
        <v>641</v>
      </c>
      <c r="G112" s="546" t="s">
        <v>301</v>
      </c>
      <c r="H112" s="546">
        <v>1</v>
      </c>
      <c r="I112" s="547"/>
      <c r="J112" s="548" t="str">
        <f t="shared" si="0"/>
        <v>INCLUDED</v>
      </c>
    </row>
    <row r="113" spans="1:11">
      <c r="A113" s="734">
        <f>'Sch-1'!A113</f>
        <v>96</v>
      </c>
      <c r="B113" s="546">
        <v>7000018791</v>
      </c>
      <c r="C113" s="546">
        <v>1100</v>
      </c>
      <c r="D113" s="546" t="s">
        <v>562</v>
      </c>
      <c r="E113" s="546">
        <v>1000018706</v>
      </c>
      <c r="F113" s="538" t="s">
        <v>632</v>
      </c>
      <c r="G113" s="546" t="s">
        <v>300</v>
      </c>
      <c r="H113" s="546">
        <v>1</v>
      </c>
      <c r="I113" s="547"/>
      <c r="J113" s="548" t="str">
        <f t="shared" si="0"/>
        <v>INCLUDED</v>
      </c>
    </row>
    <row r="114" spans="1:11">
      <c r="A114" s="734">
        <f>'Sch-1'!A114</f>
        <v>97</v>
      </c>
      <c r="B114" s="546">
        <v>7000018791</v>
      </c>
      <c r="C114" s="546">
        <v>1160</v>
      </c>
      <c r="D114" s="546" t="s">
        <v>562</v>
      </c>
      <c r="E114" s="546">
        <v>1000019317</v>
      </c>
      <c r="F114" s="538" t="s">
        <v>633</v>
      </c>
      <c r="G114" s="546" t="s">
        <v>300</v>
      </c>
      <c r="H114" s="546">
        <v>1</v>
      </c>
      <c r="I114" s="547"/>
      <c r="J114" s="548" t="str">
        <f t="shared" si="0"/>
        <v>INCLUDED</v>
      </c>
    </row>
    <row r="115" spans="1:11" ht="31.5">
      <c r="A115" s="734">
        <f>'Sch-1'!A115</f>
        <v>98</v>
      </c>
      <c r="B115" s="546">
        <v>7000018791</v>
      </c>
      <c r="C115" s="546">
        <v>1110</v>
      </c>
      <c r="D115" s="546" t="s">
        <v>562</v>
      </c>
      <c r="E115" s="546">
        <v>1000031374</v>
      </c>
      <c r="F115" s="538" t="s">
        <v>634</v>
      </c>
      <c r="G115" s="546" t="s">
        <v>301</v>
      </c>
      <c r="H115" s="546">
        <v>1</v>
      </c>
      <c r="I115" s="547"/>
      <c r="J115" s="548" t="str">
        <f t="shared" si="0"/>
        <v>INCLUDED</v>
      </c>
    </row>
    <row r="116" spans="1:11" ht="31.5">
      <c r="A116" s="734">
        <f>'Sch-1'!A116</f>
        <v>99</v>
      </c>
      <c r="B116" s="546">
        <v>7000018791</v>
      </c>
      <c r="C116" s="546">
        <v>1120</v>
      </c>
      <c r="D116" s="546" t="s">
        <v>562</v>
      </c>
      <c r="E116" s="546">
        <v>1000034950</v>
      </c>
      <c r="F116" s="538" t="s">
        <v>635</v>
      </c>
      <c r="G116" s="546" t="s">
        <v>300</v>
      </c>
      <c r="H116" s="546">
        <v>1</v>
      </c>
      <c r="I116" s="547"/>
      <c r="J116" s="548" t="str">
        <f t="shared" si="0"/>
        <v>INCLUDED</v>
      </c>
    </row>
    <row r="117" spans="1:11" ht="47.25">
      <c r="A117" s="734">
        <f>'Sch-1'!A117</f>
        <v>100</v>
      </c>
      <c r="B117" s="546">
        <v>7000018791</v>
      </c>
      <c r="C117" s="546">
        <v>1130</v>
      </c>
      <c r="D117" s="546" t="s">
        <v>562</v>
      </c>
      <c r="E117" s="546">
        <v>1000031381</v>
      </c>
      <c r="F117" s="538" t="s">
        <v>636</v>
      </c>
      <c r="G117" s="546" t="s">
        <v>301</v>
      </c>
      <c r="H117" s="546">
        <v>1</v>
      </c>
      <c r="I117" s="547"/>
      <c r="J117" s="548" t="str">
        <f t="shared" si="0"/>
        <v>INCLUDED</v>
      </c>
    </row>
    <row r="118" spans="1:11" ht="31.5">
      <c r="A118" s="734">
        <f>'Sch-1'!A118</f>
        <v>101</v>
      </c>
      <c r="B118" s="546">
        <v>7000018791</v>
      </c>
      <c r="C118" s="546">
        <v>1140</v>
      </c>
      <c r="D118" s="546" t="s">
        <v>562</v>
      </c>
      <c r="E118" s="546">
        <v>1000034998</v>
      </c>
      <c r="F118" s="538" t="s">
        <v>640</v>
      </c>
      <c r="G118" s="546" t="s">
        <v>300</v>
      </c>
      <c r="H118" s="546">
        <v>1</v>
      </c>
      <c r="I118" s="547"/>
      <c r="J118" s="548" t="str">
        <f t="shared" si="0"/>
        <v>INCLUDED</v>
      </c>
    </row>
    <row r="119" spans="1:11" ht="31.5">
      <c r="A119" s="734">
        <f>'Sch-1'!A119</f>
        <v>102</v>
      </c>
      <c r="B119" s="546">
        <v>7000018791</v>
      </c>
      <c r="C119" s="546">
        <v>1150</v>
      </c>
      <c r="D119" s="546" t="s">
        <v>562</v>
      </c>
      <c r="E119" s="546">
        <v>1000031398</v>
      </c>
      <c r="F119" s="538" t="s">
        <v>642</v>
      </c>
      <c r="G119" s="546" t="s">
        <v>301</v>
      </c>
      <c r="H119" s="546">
        <v>1</v>
      </c>
      <c r="I119" s="547"/>
      <c r="J119" s="548" t="str">
        <f t="shared" si="0"/>
        <v>INCLUDED</v>
      </c>
    </row>
    <row r="120" spans="1:11" ht="31.5">
      <c r="A120" s="734">
        <f>'Sch-1'!A120</f>
        <v>103</v>
      </c>
      <c r="B120" s="546">
        <v>7000018791</v>
      </c>
      <c r="C120" s="546">
        <v>1170</v>
      </c>
      <c r="D120" s="546" t="s">
        <v>563</v>
      </c>
      <c r="E120" s="546">
        <v>1000017518</v>
      </c>
      <c r="F120" s="538" t="s">
        <v>643</v>
      </c>
      <c r="G120" s="546" t="s">
        <v>300</v>
      </c>
      <c r="H120" s="546">
        <v>2</v>
      </c>
      <c r="I120" s="547"/>
      <c r="J120" s="548" t="str">
        <f t="shared" si="0"/>
        <v>INCLUDED</v>
      </c>
    </row>
    <row r="121" spans="1:11" ht="31.5">
      <c r="A121" s="734">
        <f>'Sch-1'!A121</f>
        <v>104</v>
      </c>
      <c r="B121" s="546">
        <v>7000018791</v>
      </c>
      <c r="C121" s="546">
        <v>1180</v>
      </c>
      <c r="D121" s="546" t="s">
        <v>563</v>
      </c>
      <c r="E121" s="546">
        <v>1000022512</v>
      </c>
      <c r="F121" s="538" t="s">
        <v>644</v>
      </c>
      <c r="G121" s="546" t="s">
        <v>300</v>
      </c>
      <c r="H121" s="546">
        <v>2</v>
      </c>
      <c r="I121" s="547"/>
      <c r="J121" s="548" t="str">
        <f t="shared" si="0"/>
        <v>INCLUDED</v>
      </c>
    </row>
    <row r="122" spans="1:11" ht="47.25">
      <c r="A122" s="734">
        <f>'Sch-1'!A122</f>
        <v>105</v>
      </c>
      <c r="B122" s="546">
        <v>7000018791</v>
      </c>
      <c r="C122" s="546">
        <v>1190</v>
      </c>
      <c r="D122" s="546" t="s">
        <v>563</v>
      </c>
      <c r="E122" s="546">
        <v>1000022510</v>
      </c>
      <c r="F122" s="538" t="s">
        <v>645</v>
      </c>
      <c r="G122" s="546" t="s">
        <v>300</v>
      </c>
      <c r="H122" s="546">
        <v>3</v>
      </c>
      <c r="I122" s="547"/>
      <c r="J122" s="548" t="str">
        <f t="shared" si="0"/>
        <v>INCLUDED</v>
      </c>
    </row>
    <row r="123" spans="1:11" ht="47.25">
      <c r="A123" s="734">
        <f>'Sch-1'!A123</f>
        <v>106</v>
      </c>
      <c r="B123" s="546">
        <v>7000018791</v>
      </c>
      <c r="C123" s="546">
        <v>1200</v>
      </c>
      <c r="D123" s="546" t="s">
        <v>563</v>
      </c>
      <c r="E123" s="546">
        <v>1000022487</v>
      </c>
      <c r="F123" s="538" t="s">
        <v>646</v>
      </c>
      <c r="G123" s="546" t="s">
        <v>300</v>
      </c>
      <c r="H123" s="546">
        <v>1</v>
      </c>
      <c r="I123" s="547"/>
      <c r="J123" s="548" t="str">
        <f t="shared" si="0"/>
        <v>INCLUDED</v>
      </c>
    </row>
    <row r="124" spans="1:11" ht="31.5">
      <c r="A124" s="734">
        <f>'Sch-1'!A124</f>
        <v>107</v>
      </c>
      <c r="B124" s="546">
        <v>7000018791</v>
      </c>
      <c r="C124" s="546">
        <v>1230</v>
      </c>
      <c r="D124" s="546" t="s">
        <v>564</v>
      </c>
      <c r="E124" s="546">
        <v>1000062002</v>
      </c>
      <c r="F124" s="538" t="s">
        <v>647</v>
      </c>
      <c r="G124" s="546" t="s">
        <v>300</v>
      </c>
      <c r="H124" s="546">
        <v>1</v>
      </c>
      <c r="I124" s="547"/>
      <c r="J124" s="548" t="str">
        <f t="shared" si="0"/>
        <v>INCLUDED</v>
      </c>
    </row>
    <row r="125" spans="1:11" ht="31.5">
      <c r="A125" s="734">
        <f>'Sch-1'!A125</f>
        <v>108</v>
      </c>
      <c r="B125" s="546">
        <v>7000018791</v>
      </c>
      <c r="C125" s="546">
        <v>1240</v>
      </c>
      <c r="D125" s="546" t="s">
        <v>564</v>
      </c>
      <c r="E125" s="546">
        <v>1000062004</v>
      </c>
      <c r="F125" s="538" t="s">
        <v>648</v>
      </c>
      <c r="G125" s="546" t="s">
        <v>300</v>
      </c>
      <c r="H125" s="546">
        <v>1</v>
      </c>
      <c r="I125" s="547"/>
      <c r="J125" s="548" t="str">
        <f t="shared" si="0"/>
        <v>INCLUDED</v>
      </c>
    </row>
    <row r="126" spans="1:11" ht="33" customHeight="1">
      <c r="A126" s="432"/>
      <c r="B126" s="852" t="s">
        <v>316</v>
      </c>
      <c r="C126" s="852"/>
      <c r="D126" s="852"/>
      <c r="E126" s="473"/>
      <c r="F126" s="474"/>
      <c r="G126" s="475"/>
      <c r="H126" s="475"/>
      <c r="I126" s="473"/>
      <c r="J126" s="743">
        <f>SUM(J18:J125)</f>
        <v>0</v>
      </c>
      <c r="K126" s="476"/>
    </row>
    <row r="127" spans="1:11" ht="57.75" customHeight="1">
      <c r="A127" s="431"/>
      <c r="B127" s="853" t="s">
        <v>351</v>
      </c>
      <c r="C127" s="853"/>
      <c r="D127" s="853"/>
      <c r="E127" s="853"/>
      <c r="F127" s="853"/>
      <c r="G127" s="853"/>
      <c r="H127" s="853"/>
      <c r="I127" s="853"/>
      <c r="J127" s="853"/>
      <c r="K127" s="476"/>
    </row>
    <row r="128" spans="1:11" ht="24.75" customHeight="1">
      <c r="B128" s="418"/>
      <c r="C128" s="418"/>
      <c r="D128" s="418"/>
      <c r="E128" s="418"/>
      <c r="F128" s="418"/>
      <c r="G128" s="418"/>
      <c r="H128" s="352"/>
      <c r="I128" s="418"/>
      <c r="J128" s="352"/>
      <c r="K128" s="476"/>
    </row>
    <row r="129" spans="1:11" s="477" customFormat="1" ht="16.5">
      <c r="A129" s="543"/>
      <c r="B129" s="550" t="s">
        <v>317</v>
      </c>
      <c r="C129" s="847" t="str">
        <f>'Sch-1'!C131:D131</f>
        <v xml:space="preserve">  </v>
      </c>
      <c r="D129" s="844"/>
      <c r="E129" s="543"/>
      <c r="F129" s="543"/>
      <c r="G129" s="849" t="s">
        <v>319</v>
      </c>
      <c r="H129" s="849"/>
      <c r="I129" s="846" t="str">
        <f>'Sch-1'!K131</f>
        <v/>
      </c>
      <c r="J129" s="846"/>
    </row>
    <row r="130" spans="1:11" s="477" customFormat="1" ht="16.5">
      <c r="A130" s="543"/>
      <c r="B130" s="550" t="s">
        <v>318</v>
      </c>
      <c r="C130" s="844" t="str">
        <f>'Sch-1'!C132:D132</f>
        <v/>
      </c>
      <c r="D130" s="844"/>
      <c r="E130" s="543"/>
      <c r="F130" s="543"/>
      <c r="G130" s="849" t="s">
        <v>124</v>
      </c>
      <c r="H130" s="849"/>
      <c r="I130" s="846" t="str">
        <f>'Sch-1'!K132</f>
        <v/>
      </c>
      <c r="J130" s="846"/>
    </row>
    <row r="131" spans="1:11" ht="16.5">
      <c r="B131" s="551"/>
      <c r="C131" s="552"/>
      <c r="D131" s="352"/>
      <c r="E131" s="553"/>
      <c r="F131" s="554"/>
      <c r="G131" s="352"/>
      <c r="H131" s="545"/>
      <c r="I131" s="555"/>
      <c r="J131" s="545"/>
      <c r="K131" s="476"/>
    </row>
    <row r="132" spans="1:11" ht="16.5">
      <c r="B132" s="556"/>
      <c r="C132" s="557"/>
      <c r="D132" s="556"/>
      <c r="E132" s="553"/>
      <c r="F132" s="554"/>
      <c r="G132" s="556"/>
      <c r="H132" s="545"/>
      <c r="I132" s="555"/>
      <c r="J132" s="545"/>
      <c r="K132" s="476"/>
    </row>
  </sheetData>
  <sheetProtection algorithmName="SHA-512" hashValue="/NTUuuw6hArgvmAUqr00daUNX8MOfHJs3aTeaTVOeRR+sO3G5G5TGT7PBviexSVbiC6vLeQo1oE9pA4/TMgoGA==" saltValue="RVe2OwjCxCAM06MzkCBsmw==" spinCount="100000" sheet="1" formatColumns="0" formatRows="0" selectLockedCells="1"/>
  <customSheetViews>
    <customSheetView guid="{858F61A7-D995-4540-8BB4-0D5C12D88289}" scale="80" showPageBreaks="1" printArea="1" view="pageBreakPreview" topLeftCell="A5">
      <selection activeCell="I20" sqref="I20"/>
      <pageMargins left="0.45" right="0.45" top="0.75" bottom="0.5" header="0.3" footer="0.3"/>
      <printOptions horizontalCentered="1"/>
      <pageSetup paperSize="9" scale="62" orientation="landscape" r:id="rId1"/>
      <headerFooter>
        <oddHeader>&amp;RSchedule-2
Page &amp;P of &amp;N</oddHeader>
      </headerFooter>
    </customSheetView>
    <customSheetView guid="{CCA37BAE-906F-43D5-9FD9-B13563E4B9D7}" scale="80" showPageBreaks="1" printArea="1" view="pageBreakPreview" topLeftCell="A403">
      <selection activeCell="I412" sqref="I412"/>
      <pageMargins left="0.45" right="0.45" top="0.75" bottom="0.5" header="0.3" footer="0.3"/>
      <printOptions horizontalCentered="1"/>
      <pageSetup paperSize="9" scale="62" orientation="landscape" r:id="rId2"/>
      <headerFooter>
        <oddHeader>&amp;RSchedule-2
Page &amp;P of &amp;N</oddHeader>
      </headerFooter>
    </customSheetView>
    <customSheetView guid="{CA9345C4-09FE-4F27-BFD9-3D9BCD2DED09}" scale="80" showPageBreaks="1" printArea="1" view="pageBreakPreview" topLeftCell="A278">
      <selection activeCell="I287" sqref="I287"/>
      <pageMargins left="0.45" right="0.45" top="0.75" bottom="0.5" header="0.3" footer="0.3"/>
      <printOptions horizontalCentered="1"/>
      <pageSetup paperSize="9" scale="62" orientation="landscape" r:id="rId3"/>
      <headerFooter>
        <oddHeader>&amp;RSchedule-2
Page &amp;P of &amp;N</oddHeader>
      </headerFooter>
    </customSheetView>
    <customSheetView guid="{7AB1F867-F01E-4EB9-A93D-DDCFDB9AA444}" scale="80" showPageBreaks="1" printArea="1" view="pageBreakPreview" topLeftCell="A125">
      <selection activeCell="A134" sqref="A134"/>
      <pageMargins left="0.45" right="0.45" top="0.75" bottom="0.5" header="0.3" footer="0.3"/>
      <printOptions horizontalCentered="1"/>
      <pageSetup paperSize="9" scale="62" orientation="landscape" r:id="rId4"/>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5"/>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6"/>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8"/>
      <headerFooter>
        <oddHeader>&amp;RSchedule-2
Page &amp;P of &amp;N</oddHeader>
      </headerFooter>
    </customSheetView>
    <customSheetView guid="{497EA202-A8B8-45C5-9E6C-C3CD104F3979}" scale="80" showPageBreaks="1" printArea="1" view="pageBreakPreview" topLeftCell="A4">
      <selection activeCell="I21" sqref="I21"/>
      <pageMargins left="0.45" right="0.45" top="0.75" bottom="0.5" header="0.3" footer="0.3"/>
      <printOptions horizontalCentered="1"/>
      <pageSetup paperSize="9" scale="62" orientation="landscape" r:id="rId9"/>
      <headerFooter>
        <oddHeader>&amp;RSchedule-2
Page &amp;P of &amp;N</oddHeader>
      </headerFooter>
    </customSheetView>
    <customSheetView guid="{63D51328-7CBC-4A1E-B96D-BAE91416501B}" scale="80"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D5521983-A70D-48A3-9506-C0263CBBC57D}" scale="80" showPageBreaks="1" printArea="1" view="pageBreakPreview" topLeftCell="A125">
      <selection activeCell="A134" sqref="A134"/>
      <pageMargins left="0.45" right="0.45" top="0.75" bottom="0.5" header="0.3" footer="0.3"/>
      <printOptions horizontalCentered="1"/>
      <pageSetup paperSize="9" scale="62" orientation="landscape" r:id="rId11"/>
      <headerFooter>
        <oddHeader>&amp;RSchedule-2
Page &amp;P of &amp;N</oddHeader>
      </headerFooter>
    </customSheetView>
    <customSheetView guid="{12A89170-4F84-482D-A3C5-7890082E7B73}" scale="80" showPageBreaks="1" printArea="1" view="pageBreakPreview" topLeftCell="A18">
      <selection activeCell="I18" sqref="I18"/>
      <pageMargins left="0.45" right="0.45" top="0.75" bottom="0.5" header="0.3" footer="0.3"/>
      <printOptions horizontalCentered="1"/>
      <pageSetup paperSize="9" scale="62" orientation="landscape" r:id="rId12"/>
      <headerFooter>
        <oddHeader>&amp;RSchedule-2
Page &amp;P of &amp;N</oddHeader>
      </headerFooter>
    </customSheetView>
  </customSheetViews>
  <mergeCells count="20">
    <mergeCell ref="C10:E10"/>
    <mergeCell ref="C9:E9"/>
    <mergeCell ref="C12:E12"/>
    <mergeCell ref="C11:E11"/>
    <mergeCell ref="A13:J13"/>
    <mergeCell ref="G130:H130"/>
    <mergeCell ref="G129:H129"/>
    <mergeCell ref="I130:J130"/>
    <mergeCell ref="N3:O3"/>
    <mergeCell ref="A4:J4"/>
    <mergeCell ref="A3:J3"/>
    <mergeCell ref="C130:D130"/>
    <mergeCell ref="B126:D126"/>
    <mergeCell ref="B127:J127"/>
    <mergeCell ref="C129:D129"/>
    <mergeCell ref="I129:J129"/>
    <mergeCell ref="A6:B6"/>
    <mergeCell ref="I14:J14"/>
    <mergeCell ref="A7:F7"/>
    <mergeCell ref="A8:G8"/>
  </mergeCells>
  <dataValidations count="2">
    <dataValidation type="decimal" operator="greaterThan" allowBlank="1" showInputMessage="1" showErrorMessage="1" error="Enter only Numeric value greater than zero or leave the cell blank !" sqref="I64709:I64710" xr:uid="{00000000-0002-0000-0500-000000000000}">
      <formula1>0</formula1>
    </dataValidation>
    <dataValidation type="decimal" operator="greaterThanOrEqual" allowBlank="1" showInputMessage="1" showErrorMessage="1" sqref="I18:I125" xr:uid="{022775CE-8023-498E-9BC1-62C0D048982C}">
      <formula1>0</formula1>
    </dataValidation>
  </dataValidations>
  <printOptions horizontalCentered="1"/>
  <pageMargins left="0.45" right="0.45" top="0.75" bottom="0.5" header="0.3" footer="0.3"/>
  <pageSetup paperSize="9" scale="62" orientation="landscape" r:id="rId13"/>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114"/>
  <sheetViews>
    <sheetView view="pageBreakPreview" topLeftCell="F97" zoomScale="70" zoomScaleNormal="80" zoomScaleSheetLayoutView="70" workbookViewId="0">
      <selection activeCell="Y108" sqref="Y108"/>
    </sheetView>
  </sheetViews>
  <sheetFormatPr defaultColWidth="9.140625" defaultRowHeight="15.75"/>
  <cols>
    <col min="1" max="1" width="5.5703125" style="20" customWidth="1"/>
    <col min="2" max="2" width="16.140625" style="20" customWidth="1"/>
    <col min="3" max="3" width="9.7109375" style="20" customWidth="1"/>
    <col min="4" max="4" width="9.140625" style="20" customWidth="1"/>
    <col min="5" max="5" width="9.28515625" style="20" customWidth="1"/>
    <col min="6" max="6" width="26.42578125" style="413" customWidth="1"/>
    <col min="7" max="7" width="19.85546875" style="413" bestFit="1" customWidth="1"/>
    <col min="8" max="8" width="13.85546875" style="413" customWidth="1"/>
    <col min="9" max="9" width="20.42578125" style="413" customWidth="1"/>
    <col min="10" max="10" width="13.85546875" style="413" customWidth="1"/>
    <col min="11" max="11" width="21.42578125" style="413" customWidth="1"/>
    <col min="12" max="12" width="68.5703125" style="9" customWidth="1"/>
    <col min="13" max="13" width="8.7109375" style="10" customWidth="1"/>
    <col min="14" max="14" width="10.5703125" style="460" customWidth="1"/>
    <col min="15" max="15" width="16.140625" style="10" customWidth="1"/>
    <col min="16" max="16" width="24" style="10" customWidth="1"/>
    <col min="17" max="17" width="9.140625" style="7" hidden="1" customWidth="1"/>
    <col min="18" max="18" width="16.42578125" style="8" hidden="1" customWidth="1"/>
    <col min="19" max="19" width="26.85546875" style="8" hidden="1" customWidth="1"/>
    <col min="20" max="20" width="16.42578125" style="451" hidden="1" customWidth="1"/>
    <col min="21" max="21" width="16.85546875" style="8" hidden="1" customWidth="1"/>
    <col min="22" max="22" width="18.140625" style="7" hidden="1" customWidth="1"/>
    <col min="23" max="24" width="9.140625" style="7" hidden="1" customWidth="1"/>
    <col min="25"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9.140625" style="8"/>
  </cols>
  <sheetData>
    <row r="1" spans="1:31" ht="24.75" customHeight="1">
      <c r="A1" s="18" t="str">
        <f>Cover!B3</f>
        <v>Specification No.: 5002002330/CONSULTANCY GIVEN/DOM/A06-CC CS -7</v>
      </c>
      <c r="B1" s="18"/>
      <c r="C1" s="18"/>
      <c r="D1" s="18"/>
      <c r="E1" s="18"/>
      <c r="F1" s="411"/>
      <c r="G1" s="411"/>
      <c r="H1" s="411"/>
      <c r="I1" s="411"/>
      <c r="J1" s="411"/>
      <c r="K1" s="411"/>
      <c r="L1" s="392"/>
      <c r="M1" s="6"/>
      <c r="N1" s="6"/>
      <c r="O1" s="1"/>
      <c r="P1" s="2" t="s">
        <v>16</v>
      </c>
    </row>
    <row r="2" spans="1:31">
      <c r="A2" s="19"/>
      <c r="B2" s="19"/>
      <c r="C2" s="19"/>
      <c r="D2" s="19"/>
      <c r="E2" s="19"/>
      <c r="F2" s="412"/>
      <c r="G2" s="412"/>
      <c r="H2" s="412"/>
      <c r="I2" s="412"/>
      <c r="J2" s="412"/>
      <c r="K2" s="412"/>
      <c r="L2" s="386"/>
      <c r="M2" s="4"/>
      <c r="N2" s="4"/>
      <c r="O2" s="3"/>
      <c r="P2" s="3"/>
    </row>
    <row r="3" spans="1:31" ht="36" customHeight="1">
      <c r="A3" s="833" t="str">
        <f>Cover!$B$2</f>
        <v xml:space="preserve">Substation Package SS01 for extension of 400kV Gorakhpur Substation through GIS bays for termination of 400 KV D/C New Butwal - Gorakhpur Transmission Line under Cross Border Interconnection
</v>
      </c>
      <c r="B3" s="833"/>
      <c r="C3" s="833"/>
      <c r="D3" s="833"/>
      <c r="E3" s="833"/>
      <c r="F3" s="833"/>
      <c r="G3" s="833"/>
      <c r="H3" s="833"/>
      <c r="I3" s="833"/>
      <c r="J3" s="833"/>
      <c r="K3" s="833"/>
      <c r="L3" s="833"/>
      <c r="M3" s="833"/>
      <c r="N3" s="833"/>
      <c r="O3" s="833"/>
      <c r="P3" s="833"/>
    </row>
    <row r="4" spans="1:31" ht="16.5">
      <c r="A4" s="834" t="s">
        <v>18</v>
      </c>
      <c r="B4" s="834"/>
      <c r="C4" s="834"/>
      <c r="D4" s="834"/>
      <c r="E4" s="834"/>
      <c r="F4" s="834"/>
      <c r="G4" s="834"/>
      <c r="H4" s="834"/>
      <c r="I4" s="834"/>
      <c r="J4" s="834"/>
      <c r="K4" s="834"/>
      <c r="L4" s="834"/>
      <c r="M4" s="834"/>
      <c r="N4" s="834"/>
      <c r="O4" s="834"/>
      <c r="P4" s="834"/>
    </row>
    <row r="6" spans="1:31" ht="21.75" customHeight="1">
      <c r="A6" s="835" t="s">
        <v>352</v>
      </c>
      <c r="B6" s="835"/>
      <c r="C6" s="4"/>
      <c r="D6" s="352"/>
      <c r="E6" s="4"/>
      <c r="F6" s="4"/>
      <c r="G6" s="4"/>
      <c r="H6" s="4"/>
      <c r="I6" s="4"/>
    </row>
    <row r="7" spans="1:31" ht="21" customHeight="1">
      <c r="A7" s="840">
        <f>'Sch-1'!A7</f>
        <v>0</v>
      </c>
      <c r="B7" s="840"/>
      <c r="C7" s="840"/>
      <c r="D7" s="840"/>
      <c r="E7" s="840"/>
      <c r="F7" s="840"/>
      <c r="G7" s="840"/>
      <c r="H7" s="840"/>
      <c r="I7" s="840"/>
      <c r="J7" s="414"/>
      <c r="K7" s="414"/>
      <c r="L7" s="393"/>
      <c r="M7" s="11" t="s">
        <v>1</v>
      </c>
      <c r="N7" s="461"/>
      <c r="O7" s="8"/>
      <c r="P7" s="3"/>
    </row>
    <row r="8" spans="1:31" ht="22.5" customHeight="1">
      <c r="A8" s="836" t="str">
        <f>"Bidder’s Name and Address  (" &amp; MID('Names of Bidder'!B9,9, 20) &amp; ") :"</f>
        <v>Bidder’s Name and Address  (Sole Bidder) :</v>
      </c>
      <c r="B8" s="836"/>
      <c r="C8" s="836"/>
      <c r="D8" s="836"/>
      <c r="E8" s="836"/>
      <c r="F8" s="836"/>
      <c r="G8" s="836"/>
      <c r="H8" s="549"/>
      <c r="I8" s="549"/>
      <c r="J8" s="518"/>
      <c r="K8" s="518"/>
      <c r="L8" s="518"/>
      <c r="M8" s="12" t="str">
        <f>'Sch-1'!K8</f>
        <v>Contract Services</v>
      </c>
      <c r="N8" s="518"/>
      <c r="O8" s="8"/>
      <c r="P8" s="3"/>
    </row>
    <row r="9" spans="1:31" ht="24.75" customHeight="1">
      <c r="A9" s="462" t="s">
        <v>12</v>
      </c>
      <c r="B9" s="408"/>
      <c r="C9" s="839" t="str">
        <f>IF('Names of Bidder'!D9=0, "", 'Names of Bidder'!D9)</f>
        <v/>
      </c>
      <c r="D9" s="839"/>
      <c r="E9" s="839"/>
      <c r="F9" s="839"/>
      <c r="G9" s="839"/>
      <c r="H9" s="445"/>
      <c r="I9" s="409"/>
      <c r="J9" s="394"/>
      <c r="K9" s="394"/>
      <c r="L9" s="394"/>
      <c r="M9" s="12" t="str">
        <f>'Sch-1'!K9</f>
        <v>Power Grid Corporation of India Ltd.,</v>
      </c>
      <c r="N9" s="451"/>
      <c r="O9" s="8"/>
      <c r="P9" s="3"/>
    </row>
    <row r="10" spans="1:31" ht="21" customHeight="1">
      <c r="A10" s="462" t="s">
        <v>11</v>
      </c>
      <c r="B10" s="408"/>
      <c r="C10" s="838" t="str">
        <f>IF('Names of Bidder'!D10=0, "", 'Names of Bidder'!D10)</f>
        <v/>
      </c>
      <c r="D10" s="838"/>
      <c r="E10" s="838"/>
      <c r="F10" s="838"/>
      <c r="G10" s="838"/>
      <c r="H10" s="445"/>
      <c r="I10" s="409"/>
      <c r="J10" s="394"/>
      <c r="K10" s="394"/>
      <c r="L10" s="394"/>
      <c r="M10" s="12" t="str">
        <f>'Sch-1'!K10</f>
        <v>"Saudamini", Plot No.-2</v>
      </c>
      <c r="N10" s="451"/>
      <c r="O10" s="8"/>
      <c r="P10" s="3"/>
    </row>
    <row r="11" spans="1:31" ht="20.25" customHeight="1">
      <c r="A11" s="409"/>
      <c r="B11" s="409"/>
      <c r="C11" s="838" t="str">
        <f>IF('Names of Bidder'!D11=0, "", 'Names of Bidder'!D11)</f>
        <v/>
      </c>
      <c r="D11" s="838"/>
      <c r="E11" s="838"/>
      <c r="F11" s="838"/>
      <c r="G11" s="838"/>
      <c r="H11" s="445"/>
      <c r="I11" s="409"/>
      <c r="J11" s="394"/>
      <c r="K11" s="394"/>
      <c r="L11" s="394"/>
      <c r="M11" s="12" t="str">
        <f>'Sch-1'!K11</f>
        <v xml:space="preserve">Sector-29, </v>
      </c>
      <c r="N11" s="451"/>
      <c r="O11" s="8"/>
      <c r="P11" s="3"/>
    </row>
    <row r="12" spans="1:31" ht="21" customHeight="1">
      <c r="A12" s="409"/>
      <c r="B12" s="409"/>
      <c r="C12" s="838" t="str">
        <f>IF('Names of Bidder'!D12=0, "", 'Names of Bidder'!D12)</f>
        <v/>
      </c>
      <c r="D12" s="838"/>
      <c r="E12" s="838"/>
      <c r="F12" s="838"/>
      <c r="G12" s="838"/>
      <c r="H12" s="445"/>
      <c r="I12" s="409"/>
      <c r="J12" s="394"/>
      <c r="K12" s="394"/>
      <c r="L12" s="394"/>
      <c r="M12" s="12" t="str">
        <f>'Sch-1'!K12</f>
        <v>Gurgaon (Haryana) - 122001</v>
      </c>
      <c r="N12" s="451"/>
      <c r="O12" s="8"/>
      <c r="P12" s="3"/>
    </row>
    <row r="13" spans="1:31">
      <c r="A13" s="21"/>
      <c r="B13" s="21"/>
      <c r="C13" s="21"/>
      <c r="D13" s="21"/>
      <c r="E13" s="21"/>
      <c r="F13" s="415"/>
      <c r="G13" s="415"/>
      <c r="H13" s="415"/>
      <c r="I13" s="415"/>
      <c r="J13" s="415"/>
      <c r="K13" s="415"/>
      <c r="L13" s="394"/>
      <c r="M13" s="262"/>
      <c r="N13" s="445"/>
      <c r="O13" s="12"/>
      <c r="P13" s="3"/>
    </row>
    <row r="14" spans="1:31" ht="24.75" customHeight="1">
      <c r="A14" s="860" t="s">
        <v>20</v>
      </c>
      <c r="B14" s="860"/>
      <c r="C14" s="860"/>
      <c r="D14" s="860"/>
      <c r="E14" s="860"/>
      <c r="F14" s="860"/>
      <c r="G14" s="860"/>
      <c r="H14" s="860"/>
      <c r="I14" s="860"/>
      <c r="J14" s="860"/>
      <c r="K14" s="860"/>
      <c r="L14" s="860"/>
      <c r="M14" s="860"/>
      <c r="N14" s="860"/>
      <c r="O14" s="860"/>
      <c r="P14" s="860"/>
    </row>
    <row r="15" spans="1:31" s="434" customFormat="1" ht="125.25" customHeight="1">
      <c r="A15" s="482" t="s">
        <v>7</v>
      </c>
      <c r="B15" s="483" t="s">
        <v>266</v>
      </c>
      <c r="C15" s="483" t="s">
        <v>278</v>
      </c>
      <c r="D15" s="483" t="s">
        <v>277</v>
      </c>
      <c r="E15" s="483" t="s">
        <v>279</v>
      </c>
      <c r="F15" s="483" t="s">
        <v>280</v>
      </c>
      <c r="G15" s="482" t="s">
        <v>24</v>
      </c>
      <c r="H15" s="484" t="s">
        <v>321</v>
      </c>
      <c r="I15" s="485" t="s">
        <v>495</v>
      </c>
      <c r="J15" s="485" t="s">
        <v>312</v>
      </c>
      <c r="K15" s="485" t="s">
        <v>496</v>
      </c>
      <c r="L15" s="486" t="s">
        <v>14</v>
      </c>
      <c r="M15" s="487" t="s">
        <v>9</v>
      </c>
      <c r="N15" s="487" t="s">
        <v>15</v>
      </c>
      <c r="O15" s="486" t="s">
        <v>22</v>
      </c>
      <c r="P15" s="486" t="s">
        <v>23</v>
      </c>
      <c r="Q15" s="433"/>
      <c r="R15" s="641" t="s">
        <v>347</v>
      </c>
      <c r="S15" s="644" t="s">
        <v>348</v>
      </c>
      <c r="T15" s="641" t="s">
        <v>345</v>
      </c>
      <c r="U15" s="641" t="s">
        <v>346</v>
      </c>
      <c r="V15" s="433"/>
      <c r="W15" s="433"/>
      <c r="X15" s="433"/>
      <c r="Y15" s="433"/>
      <c r="Z15" s="433"/>
      <c r="AA15" s="433"/>
      <c r="AB15" s="433"/>
      <c r="AC15" s="433"/>
      <c r="AD15" s="433"/>
      <c r="AE15" s="433"/>
    </row>
    <row r="16" spans="1:31" s="434" customFormat="1" ht="16.5">
      <c r="A16" s="16">
        <v>1</v>
      </c>
      <c r="B16" s="16">
        <v>2</v>
      </c>
      <c r="C16" s="16">
        <v>3</v>
      </c>
      <c r="D16" s="16">
        <v>4</v>
      </c>
      <c r="E16" s="16">
        <v>5</v>
      </c>
      <c r="F16" s="391">
        <v>6</v>
      </c>
      <c r="G16" s="391">
        <v>7</v>
      </c>
      <c r="H16" s="484">
        <v>8</v>
      </c>
      <c r="I16" s="484">
        <v>9</v>
      </c>
      <c r="J16" s="484">
        <v>10</v>
      </c>
      <c r="K16" s="484">
        <v>11</v>
      </c>
      <c r="L16" s="391">
        <v>12</v>
      </c>
      <c r="M16" s="16">
        <v>13</v>
      </c>
      <c r="N16" s="16">
        <v>14</v>
      </c>
      <c r="O16" s="16">
        <v>15</v>
      </c>
      <c r="P16" s="16" t="s">
        <v>322</v>
      </c>
      <c r="Q16" s="433"/>
      <c r="V16" s="433"/>
      <c r="W16" s="433"/>
      <c r="X16" s="433"/>
      <c r="Y16" s="433"/>
      <c r="Z16" s="433"/>
      <c r="AA16" s="433"/>
      <c r="AB16" s="433"/>
      <c r="AC16" s="433"/>
      <c r="AD16" s="433"/>
      <c r="AE16" s="433"/>
    </row>
    <row r="17" spans="1:31" s="765" customFormat="1" ht="18.75">
      <c r="A17" s="761" t="str">
        <f>+'Sch-1'!A17</f>
        <v>I</v>
      </c>
      <c r="B17" s="751" t="s">
        <v>649</v>
      </c>
      <c r="C17" s="761"/>
      <c r="D17" s="761"/>
      <c r="E17" s="761"/>
      <c r="F17" s="762"/>
      <c r="G17" s="762"/>
      <c r="H17" s="763"/>
      <c r="I17" s="763"/>
      <c r="J17" s="763"/>
      <c r="K17" s="763"/>
      <c r="L17" s="762"/>
      <c r="M17" s="761"/>
      <c r="N17" s="761"/>
      <c r="O17" s="761"/>
      <c r="P17" s="761"/>
      <c r="Q17" s="764"/>
      <c r="V17" s="764"/>
      <c r="W17" s="764"/>
      <c r="X17" s="764"/>
      <c r="Y17" s="764"/>
      <c r="Z17" s="764"/>
      <c r="AA17" s="764"/>
      <c r="AB17" s="764"/>
      <c r="AC17" s="764"/>
      <c r="AD17" s="764"/>
      <c r="AE17" s="764"/>
    </row>
    <row r="18" spans="1:31" ht="31.5">
      <c r="A18" s="744">
        <v>1</v>
      </c>
      <c r="B18" s="771">
        <v>7000018791</v>
      </c>
      <c r="C18" s="771">
        <v>410</v>
      </c>
      <c r="D18" s="771">
        <v>1230</v>
      </c>
      <c r="E18" s="771">
        <v>10</v>
      </c>
      <c r="F18" s="771" t="s">
        <v>545</v>
      </c>
      <c r="G18" s="771">
        <v>100000236</v>
      </c>
      <c r="H18" s="771">
        <v>998736</v>
      </c>
      <c r="I18" s="561"/>
      <c r="J18" s="560">
        <v>18</v>
      </c>
      <c r="K18" s="559"/>
      <c r="L18" s="773" t="s">
        <v>654</v>
      </c>
      <c r="M18" s="771" t="s">
        <v>301</v>
      </c>
      <c r="N18" s="771">
        <v>2</v>
      </c>
      <c r="O18" s="547"/>
      <c r="P18" s="558" t="str">
        <f t="shared" ref="P18" si="0">IF(O18=0, "INCLUDED", IF(ISERROR(N18*O18), O18, N18*O18))</f>
        <v>INCLUDED</v>
      </c>
      <c r="Q18" s="516">
        <f t="shared" ref="Q18" si="1">IF(P18="Included",0,P18)</f>
        <v>0</v>
      </c>
      <c r="R18" s="452">
        <f>IF( K18="",J18*(IF(P18="Included",0,P18))/100,K18*(IF(P18="Included",0,P18)))</f>
        <v>0</v>
      </c>
      <c r="S18" s="640">
        <f>Discount!$J$36</f>
        <v>0</v>
      </c>
      <c r="T18" s="452">
        <f>S18*Q18</f>
        <v>0</v>
      </c>
      <c r="U18" s="453">
        <f>IF(K18="",J18*T18/100,K18*T18)</f>
        <v>0</v>
      </c>
      <c r="V18" s="767">
        <f>O18*N18</f>
        <v>0</v>
      </c>
      <c r="W18" s="264"/>
      <c r="X18" s="264"/>
      <c r="Y18" s="264"/>
      <c r="Z18" s="264"/>
      <c r="AA18" s="264"/>
    </row>
    <row r="19" spans="1:31" ht="31.5">
      <c r="A19" s="744">
        <v>2</v>
      </c>
      <c r="B19" s="771">
        <v>7000018791</v>
      </c>
      <c r="C19" s="771">
        <v>410</v>
      </c>
      <c r="D19" s="771">
        <v>1230</v>
      </c>
      <c r="E19" s="771">
        <v>30</v>
      </c>
      <c r="F19" s="771" t="s">
        <v>545</v>
      </c>
      <c r="G19" s="771">
        <v>100002129</v>
      </c>
      <c r="H19" s="771">
        <v>998736</v>
      </c>
      <c r="I19" s="561"/>
      <c r="J19" s="560">
        <v>18</v>
      </c>
      <c r="K19" s="559"/>
      <c r="L19" s="773" t="s">
        <v>655</v>
      </c>
      <c r="M19" s="771" t="s">
        <v>301</v>
      </c>
      <c r="N19" s="771">
        <v>2</v>
      </c>
      <c r="O19" s="547"/>
      <c r="P19" s="558" t="str">
        <f t="shared" ref="P19:P82" si="2">IF(O19=0, "INCLUDED", IF(ISERROR(N19*O19), O19, N19*O19))</f>
        <v>INCLUDED</v>
      </c>
      <c r="Q19" s="516">
        <f t="shared" ref="Q19:Q82" si="3">IF(P19="Included",0,P19)</f>
        <v>0</v>
      </c>
      <c r="R19" s="452">
        <f t="shared" ref="R19:R82" si="4">IF( K19="",J19*(IF(P19="Included",0,P19))/100,K19*(IF(P19="Included",0,P19)))</f>
        <v>0</v>
      </c>
      <c r="S19" s="640">
        <f>Discount!$J$36</f>
        <v>0</v>
      </c>
      <c r="T19" s="452">
        <f t="shared" ref="T19:T82" si="5">S19*Q19</f>
        <v>0</v>
      </c>
      <c r="U19" s="453">
        <f t="shared" ref="U19:U82" si="6">IF(K19="",J19*T19/100,K19*T19)</f>
        <v>0</v>
      </c>
      <c r="V19" s="767">
        <f t="shared" ref="V19:V82" si="7">O19*N19</f>
        <v>0</v>
      </c>
      <c r="W19" s="264"/>
      <c r="X19" s="264"/>
      <c r="Y19" s="264"/>
      <c r="Z19" s="264"/>
      <c r="AA19" s="264"/>
    </row>
    <row r="20" spans="1:31" ht="31.5">
      <c r="A20" s="744">
        <v>3</v>
      </c>
      <c r="B20" s="771">
        <v>7000018791</v>
      </c>
      <c r="C20" s="771">
        <v>410</v>
      </c>
      <c r="D20" s="771">
        <v>1230</v>
      </c>
      <c r="E20" s="771">
        <v>40</v>
      </c>
      <c r="F20" s="771" t="s">
        <v>545</v>
      </c>
      <c r="G20" s="771">
        <v>100002745</v>
      </c>
      <c r="H20" s="771">
        <v>998736</v>
      </c>
      <c r="I20" s="561"/>
      <c r="J20" s="560">
        <v>18</v>
      </c>
      <c r="K20" s="559"/>
      <c r="L20" s="773" t="s">
        <v>656</v>
      </c>
      <c r="M20" s="771" t="s">
        <v>300</v>
      </c>
      <c r="N20" s="771">
        <v>6</v>
      </c>
      <c r="O20" s="547"/>
      <c r="P20" s="558" t="str">
        <f t="shared" si="2"/>
        <v>INCLUDED</v>
      </c>
      <c r="Q20" s="516">
        <f t="shared" si="3"/>
        <v>0</v>
      </c>
      <c r="R20" s="452">
        <f t="shared" si="4"/>
        <v>0</v>
      </c>
      <c r="S20" s="640">
        <f>Discount!$J$36</f>
        <v>0</v>
      </c>
      <c r="T20" s="452">
        <f t="shared" si="5"/>
        <v>0</v>
      </c>
      <c r="U20" s="453">
        <f t="shared" si="6"/>
        <v>0</v>
      </c>
      <c r="V20" s="767">
        <f t="shared" si="7"/>
        <v>0</v>
      </c>
      <c r="W20" s="264"/>
      <c r="X20" s="264"/>
      <c r="Y20" s="264"/>
      <c r="Z20" s="264"/>
      <c r="AA20" s="264"/>
    </row>
    <row r="21" spans="1:31" ht="31.5">
      <c r="A21" s="744">
        <v>4</v>
      </c>
      <c r="B21" s="771">
        <v>7000018791</v>
      </c>
      <c r="C21" s="771">
        <v>410</v>
      </c>
      <c r="D21" s="771">
        <v>1230</v>
      </c>
      <c r="E21" s="771">
        <v>50</v>
      </c>
      <c r="F21" s="771" t="s">
        <v>545</v>
      </c>
      <c r="G21" s="771">
        <v>100003566</v>
      </c>
      <c r="H21" s="771">
        <v>998736</v>
      </c>
      <c r="I21" s="561"/>
      <c r="J21" s="560">
        <v>18</v>
      </c>
      <c r="K21" s="559"/>
      <c r="L21" s="773" t="s">
        <v>657</v>
      </c>
      <c r="M21" s="771" t="s">
        <v>301</v>
      </c>
      <c r="N21" s="771">
        <v>6</v>
      </c>
      <c r="O21" s="547"/>
      <c r="P21" s="558" t="str">
        <f t="shared" si="2"/>
        <v>INCLUDED</v>
      </c>
      <c r="Q21" s="516">
        <f t="shared" si="3"/>
        <v>0</v>
      </c>
      <c r="R21" s="452">
        <f t="shared" si="4"/>
        <v>0</v>
      </c>
      <c r="S21" s="640">
        <f>Discount!$J$36</f>
        <v>0</v>
      </c>
      <c r="T21" s="452">
        <f t="shared" si="5"/>
        <v>0</v>
      </c>
      <c r="U21" s="453">
        <f t="shared" si="6"/>
        <v>0</v>
      </c>
      <c r="V21" s="767">
        <f t="shared" si="7"/>
        <v>0</v>
      </c>
      <c r="W21" s="264"/>
      <c r="X21" s="264"/>
      <c r="Y21" s="264"/>
      <c r="Z21" s="264"/>
      <c r="AA21" s="264"/>
    </row>
    <row r="22" spans="1:31" ht="31.5">
      <c r="A22" s="744">
        <v>5</v>
      </c>
      <c r="B22" s="771">
        <v>7000018791</v>
      </c>
      <c r="C22" s="771">
        <v>410</v>
      </c>
      <c r="D22" s="771">
        <v>1230</v>
      </c>
      <c r="E22" s="771">
        <v>60</v>
      </c>
      <c r="F22" s="771" t="s">
        <v>545</v>
      </c>
      <c r="G22" s="771">
        <v>100002139</v>
      </c>
      <c r="H22" s="771">
        <v>998736</v>
      </c>
      <c r="I22" s="561"/>
      <c r="J22" s="560">
        <v>18</v>
      </c>
      <c r="K22" s="559"/>
      <c r="L22" s="773" t="s">
        <v>569</v>
      </c>
      <c r="M22" s="771" t="s">
        <v>476</v>
      </c>
      <c r="N22" s="771">
        <v>350</v>
      </c>
      <c r="O22" s="547"/>
      <c r="P22" s="558" t="str">
        <f t="shared" si="2"/>
        <v>INCLUDED</v>
      </c>
      <c r="Q22" s="516">
        <f t="shared" si="3"/>
        <v>0</v>
      </c>
      <c r="R22" s="452">
        <f t="shared" si="4"/>
        <v>0</v>
      </c>
      <c r="S22" s="640">
        <f>Discount!$J$36</f>
        <v>0</v>
      </c>
      <c r="T22" s="452">
        <f t="shared" si="5"/>
        <v>0</v>
      </c>
      <c r="U22" s="453">
        <f t="shared" si="6"/>
        <v>0</v>
      </c>
      <c r="V22" s="767">
        <f t="shared" si="7"/>
        <v>0</v>
      </c>
      <c r="W22" s="264"/>
      <c r="X22" s="264"/>
      <c r="Y22" s="264"/>
      <c r="Z22" s="264"/>
      <c r="AA22" s="264"/>
    </row>
    <row r="23" spans="1:31" ht="31.5">
      <c r="A23" s="744">
        <v>6</v>
      </c>
      <c r="B23" s="771">
        <v>7000018791</v>
      </c>
      <c r="C23" s="771">
        <v>410</v>
      </c>
      <c r="D23" s="771">
        <v>1230</v>
      </c>
      <c r="E23" s="771">
        <v>70</v>
      </c>
      <c r="F23" s="771" t="s">
        <v>545</v>
      </c>
      <c r="G23" s="771">
        <v>100002137</v>
      </c>
      <c r="H23" s="771">
        <v>998736</v>
      </c>
      <c r="I23" s="561"/>
      <c r="J23" s="560">
        <v>18</v>
      </c>
      <c r="K23" s="559"/>
      <c r="L23" s="773" t="s">
        <v>658</v>
      </c>
      <c r="M23" s="771" t="s">
        <v>476</v>
      </c>
      <c r="N23" s="771">
        <v>200</v>
      </c>
      <c r="O23" s="547"/>
      <c r="P23" s="558" t="str">
        <f t="shared" si="2"/>
        <v>INCLUDED</v>
      </c>
      <c r="Q23" s="516">
        <f t="shared" si="3"/>
        <v>0</v>
      </c>
      <c r="R23" s="452">
        <f t="shared" si="4"/>
        <v>0</v>
      </c>
      <c r="S23" s="640">
        <f>Discount!$J$36</f>
        <v>0</v>
      </c>
      <c r="T23" s="452">
        <f t="shared" si="5"/>
        <v>0</v>
      </c>
      <c r="U23" s="453">
        <f t="shared" si="6"/>
        <v>0</v>
      </c>
      <c r="V23" s="767">
        <f t="shared" si="7"/>
        <v>0</v>
      </c>
      <c r="W23" s="264"/>
      <c r="X23" s="264"/>
      <c r="Y23" s="264"/>
      <c r="Z23" s="264"/>
      <c r="AA23" s="264"/>
    </row>
    <row r="24" spans="1:31" ht="31.5">
      <c r="A24" s="744">
        <v>7</v>
      </c>
      <c r="B24" s="771">
        <v>7000018791</v>
      </c>
      <c r="C24" s="771">
        <v>410</v>
      </c>
      <c r="D24" s="771">
        <v>1230</v>
      </c>
      <c r="E24" s="771">
        <v>80</v>
      </c>
      <c r="F24" s="771" t="s">
        <v>545</v>
      </c>
      <c r="G24" s="771">
        <v>100002096</v>
      </c>
      <c r="H24" s="771">
        <v>998736</v>
      </c>
      <c r="I24" s="561"/>
      <c r="J24" s="560">
        <v>18</v>
      </c>
      <c r="K24" s="559"/>
      <c r="L24" s="773" t="s">
        <v>659</v>
      </c>
      <c r="M24" s="771" t="s">
        <v>301</v>
      </c>
      <c r="N24" s="771">
        <v>2</v>
      </c>
      <c r="O24" s="547"/>
      <c r="P24" s="558" t="str">
        <f t="shared" si="2"/>
        <v>INCLUDED</v>
      </c>
      <c r="Q24" s="516">
        <f t="shared" si="3"/>
        <v>0</v>
      </c>
      <c r="R24" s="452">
        <f t="shared" si="4"/>
        <v>0</v>
      </c>
      <c r="S24" s="640">
        <f>Discount!$J$36</f>
        <v>0</v>
      </c>
      <c r="T24" s="452">
        <f t="shared" si="5"/>
        <v>0</v>
      </c>
      <c r="U24" s="453">
        <f t="shared" si="6"/>
        <v>0</v>
      </c>
      <c r="V24" s="767">
        <f t="shared" si="7"/>
        <v>0</v>
      </c>
      <c r="W24" s="264"/>
      <c r="X24" s="264"/>
      <c r="Y24" s="264"/>
      <c r="Z24" s="264"/>
      <c r="AA24" s="264"/>
    </row>
    <row r="25" spans="1:31" ht="31.5">
      <c r="A25" s="744">
        <v>8</v>
      </c>
      <c r="B25" s="771">
        <v>7000018791</v>
      </c>
      <c r="C25" s="771">
        <v>420</v>
      </c>
      <c r="D25" s="771">
        <v>1320</v>
      </c>
      <c r="E25" s="771">
        <v>10</v>
      </c>
      <c r="F25" s="771" t="s">
        <v>547</v>
      </c>
      <c r="G25" s="771">
        <v>100000275</v>
      </c>
      <c r="H25" s="771">
        <v>998736</v>
      </c>
      <c r="I25" s="561"/>
      <c r="J25" s="560">
        <v>18</v>
      </c>
      <c r="K25" s="559"/>
      <c r="L25" s="773" t="s">
        <v>572</v>
      </c>
      <c r="M25" s="771" t="s">
        <v>300</v>
      </c>
      <c r="N25" s="771">
        <v>6</v>
      </c>
      <c r="O25" s="547"/>
      <c r="P25" s="558" t="str">
        <f t="shared" si="2"/>
        <v>INCLUDED</v>
      </c>
      <c r="Q25" s="516">
        <f t="shared" si="3"/>
        <v>0</v>
      </c>
      <c r="R25" s="452">
        <f t="shared" si="4"/>
        <v>0</v>
      </c>
      <c r="S25" s="640">
        <f>Discount!$J$36</f>
        <v>0</v>
      </c>
      <c r="T25" s="452">
        <f t="shared" si="5"/>
        <v>0</v>
      </c>
      <c r="U25" s="453">
        <f t="shared" si="6"/>
        <v>0</v>
      </c>
      <c r="V25" s="767">
        <f t="shared" si="7"/>
        <v>0</v>
      </c>
      <c r="W25" s="264"/>
      <c r="X25" s="264"/>
      <c r="Y25" s="264"/>
      <c r="Z25" s="264"/>
      <c r="AA25" s="264"/>
    </row>
    <row r="26" spans="1:31" ht="31.5">
      <c r="A26" s="744">
        <v>9</v>
      </c>
      <c r="B26" s="771">
        <v>7000018791</v>
      </c>
      <c r="C26" s="771">
        <v>420</v>
      </c>
      <c r="D26" s="771">
        <v>1320</v>
      </c>
      <c r="E26" s="771">
        <v>20</v>
      </c>
      <c r="F26" s="771" t="s">
        <v>547</v>
      </c>
      <c r="G26" s="771">
        <v>100000328</v>
      </c>
      <c r="H26" s="771">
        <v>998736</v>
      </c>
      <c r="I26" s="561"/>
      <c r="J26" s="560">
        <v>18</v>
      </c>
      <c r="K26" s="559"/>
      <c r="L26" s="773" t="s">
        <v>503</v>
      </c>
      <c r="M26" s="771" t="s">
        <v>300</v>
      </c>
      <c r="N26" s="771">
        <v>6</v>
      </c>
      <c r="O26" s="547"/>
      <c r="P26" s="558" t="str">
        <f t="shared" si="2"/>
        <v>INCLUDED</v>
      </c>
      <c r="Q26" s="516">
        <f t="shared" si="3"/>
        <v>0</v>
      </c>
      <c r="R26" s="452">
        <f t="shared" si="4"/>
        <v>0</v>
      </c>
      <c r="S26" s="640">
        <f>Discount!$J$36</f>
        <v>0</v>
      </c>
      <c r="T26" s="452">
        <f t="shared" si="5"/>
        <v>0</v>
      </c>
      <c r="U26" s="453">
        <f t="shared" si="6"/>
        <v>0</v>
      </c>
      <c r="V26" s="767">
        <f t="shared" si="7"/>
        <v>0</v>
      </c>
      <c r="W26" s="264"/>
      <c r="X26" s="264"/>
      <c r="Y26" s="264"/>
      <c r="Z26" s="264"/>
      <c r="AA26" s="264"/>
    </row>
    <row r="27" spans="1:31" ht="31.5">
      <c r="A27" s="744">
        <v>10</v>
      </c>
      <c r="B27" s="771">
        <v>7000018791</v>
      </c>
      <c r="C27" s="771">
        <v>420</v>
      </c>
      <c r="D27" s="771">
        <v>1320</v>
      </c>
      <c r="E27" s="771">
        <v>30</v>
      </c>
      <c r="F27" s="771" t="s">
        <v>547</v>
      </c>
      <c r="G27" s="771">
        <v>100005443</v>
      </c>
      <c r="H27" s="771">
        <v>998734</v>
      </c>
      <c r="I27" s="561"/>
      <c r="J27" s="560">
        <v>18</v>
      </c>
      <c r="K27" s="559"/>
      <c r="L27" s="773" t="s">
        <v>508</v>
      </c>
      <c r="M27" s="771" t="s">
        <v>300</v>
      </c>
      <c r="N27" s="771">
        <v>40</v>
      </c>
      <c r="O27" s="547"/>
      <c r="P27" s="558" t="str">
        <f t="shared" si="2"/>
        <v>INCLUDED</v>
      </c>
      <c r="Q27" s="516">
        <f t="shared" si="3"/>
        <v>0</v>
      </c>
      <c r="R27" s="452">
        <f t="shared" si="4"/>
        <v>0</v>
      </c>
      <c r="S27" s="640">
        <f>Discount!$J$36</f>
        <v>0</v>
      </c>
      <c r="T27" s="452">
        <f t="shared" si="5"/>
        <v>0</v>
      </c>
      <c r="U27" s="453">
        <f t="shared" si="6"/>
        <v>0</v>
      </c>
      <c r="V27" s="767">
        <f t="shared" si="7"/>
        <v>0</v>
      </c>
      <c r="W27" s="264"/>
      <c r="X27" s="264"/>
      <c r="Y27" s="264"/>
      <c r="Z27" s="264"/>
      <c r="AA27" s="264"/>
    </row>
    <row r="28" spans="1:31" ht="31.5">
      <c r="A28" s="744">
        <v>11</v>
      </c>
      <c r="B28" s="771">
        <v>7000018791</v>
      </c>
      <c r="C28" s="771">
        <v>420</v>
      </c>
      <c r="D28" s="771">
        <v>1320</v>
      </c>
      <c r="E28" s="771">
        <v>40</v>
      </c>
      <c r="F28" s="771" t="s">
        <v>547</v>
      </c>
      <c r="G28" s="771">
        <v>100000883</v>
      </c>
      <c r="H28" s="771">
        <v>998734</v>
      </c>
      <c r="I28" s="561"/>
      <c r="J28" s="560">
        <v>18</v>
      </c>
      <c r="K28" s="559"/>
      <c r="L28" s="773" t="s">
        <v>574</v>
      </c>
      <c r="M28" s="771" t="s">
        <v>300</v>
      </c>
      <c r="N28" s="771">
        <v>12</v>
      </c>
      <c r="O28" s="547"/>
      <c r="P28" s="558" t="str">
        <f t="shared" si="2"/>
        <v>INCLUDED</v>
      </c>
      <c r="Q28" s="516">
        <f t="shared" si="3"/>
        <v>0</v>
      </c>
      <c r="R28" s="452">
        <f t="shared" si="4"/>
        <v>0</v>
      </c>
      <c r="S28" s="640">
        <f>Discount!$J$36</f>
        <v>0</v>
      </c>
      <c r="T28" s="452">
        <f t="shared" si="5"/>
        <v>0</v>
      </c>
      <c r="U28" s="453">
        <f t="shared" si="6"/>
        <v>0</v>
      </c>
      <c r="V28" s="767">
        <f t="shared" si="7"/>
        <v>0</v>
      </c>
      <c r="W28" s="264"/>
      <c r="X28" s="264"/>
      <c r="Y28" s="264"/>
      <c r="Z28" s="264"/>
      <c r="AA28" s="264"/>
    </row>
    <row r="29" spans="1:31" ht="31.5">
      <c r="A29" s="744">
        <v>12</v>
      </c>
      <c r="B29" s="771">
        <v>7000018791</v>
      </c>
      <c r="C29" s="771">
        <v>430</v>
      </c>
      <c r="D29" s="771">
        <v>1411</v>
      </c>
      <c r="E29" s="771">
        <v>10</v>
      </c>
      <c r="F29" s="771" t="s">
        <v>548</v>
      </c>
      <c r="G29" s="771">
        <v>100001852</v>
      </c>
      <c r="H29" s="771">
        <v>998731</v>
      </c>
      <c r="I29" s="561"/>
      <c r="J29" s="560">
        <v>18</v>
      </c>
      <c r="K29" s="559"/>
      <c r="L29" s="773" t="s">
        <v>660</v>
      </c>
      <c r="M29" s="771" t="s">
        <v>301</v>
      </c>
      <c r="N29" s="771">
        <v>2</v>
      </c>
      <c r="O29" s="547"/>
      <c r="P29" s="558" t="str">
        <f t="shared" si="2"/>
        <v>INCLUDED</v>
      </c>
      <c r="Q29" s="516">
        <f t="shared" si="3"/>
        <v>0</v>
      </c>
      <c r="R29" s="452">
        <f t="shared" si="4"/>
        <v>0</v>
      </c>
      <c r="S29" s="640">
        <f>Discount!$J$36</f>
        <v>0</v>
      </c>
      <c r="T29" s="452">
        <f t="shared" si="5"/>
        <v>0</v>
      </c>
      <c r="U29" s="453">
        <f t="shared" si="6"/>
        <v>0</v>
      </c>
      <c r="V29" s="767">
        <f t="shared" si="7"/>
        <v>0</v>
      </c>
      <c r="W29" s="264"/>
      <c r="X29" s="264"/>
      <c r="Y29" s="264"/>
      <c r="Z29" s="264"/>
      <c r="AA29" s="264"/>
    </row>
    <row r="30" spans="1:31" ht="94.5">
      <c r="A30" s="744">
        <v>13</v>
      </c>
      <c r="B30" s="771">
        <v>7000018791</v>
      </c>
      <c r="C30" s="771">
        <v>430</v>
      </c>
      <c r="D30" s="771">
        <v>1411</v>
      </c>
      <c r="E30" s="771">
        <v>20</v>
      </c>
      <c r="F30" s="771" t="s">
        <v>548</v>
      </c>
      <c r="G30" s="771">
        <v>100007427</v>
      </c>
      <c r="H30" s="771">
        <v>995461</v>
      </c>
      <c r="I30" s="561"/>
      <c r="J30" s="560">
        <v>18</v>
      </c>
      <c r="K30" s="559"/>
      <c r="L30" s="773" t="s">
        <v>661</v>
      </c>
      <c r="M30" s="771" t="s">
        <v>506</v>
      </c>
      <c r="N30" s="771">
        <v>1</v>
      </c>
      <c r="O30" s="547"/>
      <c r="P30" s="558" t="str">
        <f t="shared" si="2"/>
        <v>INCLUDED</v>
      </c>
      <c r="Q30" s="516">
        <f t="shared" si="3"/>
        <v>0</v>
      </c>
      <c r="R30" s="452">
        <f t="shared" si="4"/>
        <v>0</v>
      </c>
      <c r="S30" s="640">
        <f>Discount!$J$36</f>
        <v>0</v>
      </c>
      <c r="T30" s="452">
        <f t="shared" si="5"/>
        <v>0</v>
      </c>
      <c r="U30" s="453">
        <f t="shared" si="6"/>
        <v>0</v>
      </c>
      <c r="V30" s="767">
        <f t="shared" si="7"/>
        <v>0</v>
      </c>
      <c r="W30" s="264"/>
      <c r="X30" s="264"/>
      <c r="Y30" s="264"/>
      <c r="Z30" s="264"/>
      <c r="AA30" s="264"/>
    </row>
    <row r="31" spans="1:31">
      <c r="A31" s="744">
        <v>14</v>
      </c>
      <c r="B31" s="771">
        <v>7000018791</v>
      </c>
      <c r="C31" s="771">
        <v>440</v>
      </c>
      <c r="D31" s="771">
        <v>1451</v>
      </c>
      <c r="E31" s="771">
        <v>10</v>
      </c>
      <c r="F31" s="771" t="s">
        <v>549</v>
      </c>
      <c r="G31" s="771">
        <v>100003103</v>
      </c>
      <c r="H31" s="771">
        <v>998731</v>
      </c>
      <c r="I31" s="561"/>
      <c r="J31" s="560">
        <v>18</v>
      </c>
      <c r="K31" s="559"/>
      <c r="L31" s="773" t="s">
        <v>482</v>
      </c>
      <c r="M31" s="771" t="s">
        <v>302</v>
      </c>
      <c r="N31" s="771">
        <v>1</v>
      </c>
      <c r="O31" s="547"/>
      <c r="P31" s="558" t="str">
        <f t="shared" si="2"/>
        <v>INCLUDED</v>
      </c>
      <c r="Q31" s="516">
        <f t="shared" si="3"/>
        <v>0</v>
      </c>
      <c r="R31" s="452">
        <f t="shared" si="4"/>
        <v>0</v>
      </c>
      <c r="S31" s="640">
        <f>Discount!$J$36</f>
        <v>0</v>
      </c>
      <c r="T31" s="452">
        <f t="shared" si="5"/>
        <v>0</v>
      </c>
      <c r="U31" s="453">
        <f t="shared" si="6"/>
        <v>0</v>
      </c>
      <c r="V31" s="767">
        <f t="shared" si="7"/>
        <v>0</v>
      </c>
      <c r="W31" s="264"/>
      <c r="X31" s="264"/>
      <c r="Y31" s="264"/>
      <c r="Z31" s="264"/>
      <c r="AA31" s="264"/>
    </row>
    <row r="32" spans="1:31" ht="31.5">
      <c r="A32" s="744">
        <v>15</v>
      </c>
      <c r="B32" s="771">
        <v>7000018791</v>
      </c>
      <c r="C32" s="771">
        <v>450</v>
      </c>
      <c r="D32" s="771">
        <v>1480</v>
      </c>
      <c r="E32" s="771">
        <v>10</v>
      </c>
      <c r="F32" s="771" t="s">
        <v>550</v>
      </c>
      <c r="G32" s="771">
        <v>100000789</v>
      </c>
      <c r="H32" s="771">
        <v>998736</v>
      </c>
      <c r="I32" s="561"/>
      <c r="J32" s="560">
        <v>18</v>
      </c>
      <c r="K32" s="559"/>
      <c r="L32" s="773" t="s">
        <v>578</v>
      </c>
      <c r="M32" s="771" t="s">
        <v>300</v>
      </c>
      <c r="N32" s="771">
        <v>4</v>
      </c>
      <c r="O32" s="547"/>
      <c r="P32" s="558" t="str">
        <f t="shared" si="2"/>
        <v>INCLUDED</v>
      </c>
      <c r="Q32" s="516">
        <f t="shared" si="3"/>
        <v>0</v>
      </c>
      <c r="R32" s="452">
        <f t="shared" si="4"/>
        <v>0</v>
      </c>
      <c r="S32" s="640">
        <f>Discount!$J$36</f>
        <v>0</v>
      </c>
      <c r="T32" s="452">
        <f t="shared" si="5"/>
        <v>0</v>
      </c>
      <c r="U32" s="453">
        <f t="shared" si="6"/>
        <v>0</v>
      </c>
      <c r="V32" s="767">
        <f t="shared" si="7"/>
        <v>0</v>
      </c>
      <c r="W32" s="264"/>
      <c r="X32" s="264"/>
      <c r="Y32" s="264"/>
      <c r="Z32" s="264"/>
      <c r="AA32" s="264"/>
    </row>
    <row r="33" spans="1:27" ht="31.5">
      <c r="A33" s="744">
        <v>16</v>
      </c>
      <c r="B33" s="771">
        <v>7000018791</v>
      </c>
      <c r="C33" s="771">
        <v>450</v>
      </c>
      <c r="D33" s="771">
        <v>1480</v>
      </c>
      <c r="E33" s="771">
        <v>20</v>
      </c>
      <c r="F33" s="771" t="s">
        <v>550</v>
      </c>
      <c r="G33" s="771">
        <v>100000792</v>
      </c>
      <c r="H33" s="771">
        <v>998736</v>
      </c>
      <c r="I33" s="561"/>
      <c r="J33" s="560">
        <v>18</v>
      </c>
      <c r="K33" s="559"/>
      <c r="L33" s="773" t="s">
        <v>579</v>
      </c>
      <c r="M33" s="771" t="s">
        <v>300</v>
      </c>
      <c r="N33" s="771">
        <v>2</v>
      </c>
      <c r="O33" s="547"/>
      <c r="P33" s="558" t="str">
        <f t="shared" si="2"/>
        <v>INCLUDED</v>
      </c>
      <c r="Q33" s="516">
        <f t="shared" si="3"/>
        <v>0</v>
      </c>
      <c r="R33" s="452">
        <f t="shared" si="4"/>
        <v>0</v>
      </c>
      <c r="S33" s="640">
        <f>Discount!$J$36</f>
        <v>0</v>
      </c>
      <c r="T33" s="452">
        <f t="shared" si="5"/>
        <v>0</v>
      </c>
      <c r="U33" s="453">
        <f t="shared" si="6"/>
        <v>0</v>
      </c>
      <c r="V33" s="767">
        <f t="shared" si="7"/>
        <v>0</v>
      </c>
      <c r="W33" s="264"/>
      <c r="X33" s="264"/>
      <c r="Y33" s="264"/>
      <c r="Z33" s="264"/>
      <c r="AA33" s="264"/>
    </row>
    <row r="34" spans="1:27" ht="31.5">
      <c r="A34" s="744">
        <v>17</v>
      </c>
      <c r="B34" s="771">
        <v>7000018791</v>
      </c>
      <c r="C34" s="771">
        <v>450</v>
      </c>
      <c r="D34" s="771">
        <v>1480</v>
      </c>
      <c r="E34" s="771">
        <v>30</v>
      </c>
      <c r="F34" s="771" t="s">
        <v>550</v>
      </c>
      <c r="G34" s="771">
        <v>100000796</v>
      </c>
      <c r="H34" s="771">
        <v>998736</v>
      </c>
      <c r="I34" s="561"/>
      <c r="J34" s="560">
        <v>18</v>
      </c>
      <c r="K34" s="559"/>
      <c r="L34" s="773" t="s">
        <v>580</v>
      </c>
      <c r="M34" s="771" t="s">
        <v>301</v>
      </c>
      <c r="N34" s="771">
        <v>1</v>
      </c>
      <c r="O34" s="547"/>
      <c r="P34" s="558" t="str">
        <f t="shared" si="2"/>
        <v>INCLUDED</v>
      </c>
      <c r="Q34" s="516">
        <f t="shared" si="3"/>
        <v>0</v>
      </c>
      <c r="R34" s="452">
        <f t="shared" si="4"/>
        <v>0</v>
      </c>
      <c r="S34" s="640">
        <f>Discount!$J$36</f>
        <v>0</v>
      </c>
      <c r="T34" s="452">
        <f t="shared" si="5"/>
        <v>0</v>
      </c>
      <c r="U34" s="453">
        <f t="shared" si="6"/>
        <v>0</v>
      </c>
      <c r="V34" s="767">
        <f t="shared" si="7"/>
        <v>0</v>
      </c>
      <c r="W34" s="264"/>
      <c r="X34" s="264"/>
      <c r="Y34" s="264"/>
      <c r="Z34" s="264"/>
      <c r="AA34" s="264"/>
    </row>
    <row r="35" spans="1:27" ht="31.5">
      <c r="A35" s="744">
        <v>18</v>
      </c>
      <c r="B35" s="771">
        <v>7000018791</v>
      </c>
      <c r="C35" s="771">
        <v>450</v>
      </c>
      <c r="D35" s="771">
        <v>1480</v>
      </c>
      <c r="E35" s="771">
        <v>40</v>
      </c>
      <c r="F35" s="771" t="s">
        <v>550</v>
      </c>
      <c r="G35" s="771">
        <v>100000784</v>
      </c>
      <c r="H35" s="771">
        <v>998736</v>
      </c>
      <c r="I35" s="561"/>
      <c r="J35" s="560">
        <v>18</v>
      </c>
      <c r="K35" s="559"/>
      <c r="L35" s="773" t="s">
        <v>581</v>
      </c>
      <c r="M35" s="771" t="s">
        <v>300</v>
      </c>
      <c r="N35" s="771">
        <v>2</v>
      </c>
      <c r="O35" s="547"/>
      <c r="P35" s="558" t="str">
        <f t="shared" si="2"/>
        <v>INCLUDED</v>
      </c>
      <c r="Q35" s="516">
        <f t="shared" si="3"/>
        <v>0</v>
      </c>
      <c r="R35" s="452">
        <f t="shared" si="4"/>
        <v>0</v>
      </c>
      <c r="S35" s="640">
        <f>Discount!$J$36</f>
        <v>0</v>
      </c>
      <c r="T35" s="452">
        <f t="shared" si="5"/>
        <v>0</v>
      </c>
      <c r="U35" s="453">
        <f t="shared" si="6"/>
        <v>0</v>
      </c>
      <c r="V35" s="767">
        <f t="shared" si="7"/>
        <v>0</v>
      </c>
      <c r="W35" s="264"/>
      <c r="X35" s="264"/>
      <c r="Y35" s="264"/>
      <c r="Z35" s="264"/>
      <c r="AA35" s="264"/>
    </row>
    <row r="36" spans="1:27">
      <c r="A36" s="744">
        <v>19</v>
      </c>
      <c r="B36" s="771">
        <v>7000018791</v>
      </c>
      <c r="C36" s="771">
        <v>460</v>
      </c>
      <c r="D36" s="771">
        <v>1530</v>
      </c>
      <c r="E36" s="771">
        <v>10</v>
      </c>
      <c r="F36" s="771" t="s">
        <v>650</v>
      </c>
      <c r="G36" s="771">
        <v>100000874</v>
      </c>
      <c r="H36" s="771">
        <v>998734</v>
      </c>
      <c r="I36" s="561"/>
      <c r="J36" s="560">
        <v>18</v>
      </c>
      <c r="K36" s="559"/>
      <c r="L36" s="773" t="s">
        <v>584</v>
      </c>
      <c r="M36" s="771" t="s">
        <v>300</v>
      </c>
      <c r="N36" s="771">
        <v>4</v>
      </c>
      <c r="O36" s="547"/>
      <c r="P36" s="558" t="str">
        <f t="shared" si="2"/>
        <v>INCLUDED</v>
      </c>
      <c r="Q36" s="516">
        <f t="shared" si="3"/>
        <v>0</v>
      </c>
      <c r="R36" s="452">
        <f t="shared" si="4"/>
        <v>0</v>
      </c>
      <c r="S36" s="640">
        <f>Discount!$J$36</f>
        <v>0</v>
      </c>
      <c r="T36" s="452">
        <f t="shared" si="5"/>
        <v>0</v>
      </c>
      <c r="U36" s="453">
        <f t="shared" si="6"/>
        <v>0</v>
      </c>
      <c r="V36" s="767">
        <f t="shared" si="7"/>
        <v>0</v>
      </c>
      <c r="W36" s="264"/>
      <c r="X36" s="264"/>
      <c r="Y36" s="264"/>
      <c r="Z36" s="264"/>
      <c r="AA36" s="264"/>
    </row>
    <row r="37" spans="1:27">
      <c r="A37" s="744">
        <v>20</v>
      </c>
      <c r="B37" s="771">
        <v>7000018791</v>
      </c>
      <c r="C37" s="771">
        <v>460</v>
      </c>
      <c r="D37" s="771">
        <v>1530</v>
      </c>
      <c r="E37" s="771">
        <v>20</v>
      </c>
      <c r="F37" s="771" t="s">
        <v>650</v>
      </c>
      <c r="G37" s="771">
        <v>100000886</v>
      </c>
      <c r="H37" s="771">
        <v>998734</v>
      </c>
      <c r="I37" s="561"/>
      <c r="J37" s="560">
        <v>18</v>
      </c>
      <c r="K37" s="559"/>
      <c r="L37" s="773" t="s">
        <v>504</v>
      </c>
      <c r="M37" s="771" t="s">
        <v>300</v>
      </c>
      <c r="N37" s="771">
        <v>2</v>
      </c>
      <c r="O37" s="547"/>
      <c r="P37" s="558" t="str">
        <f t="shared" si="2"/>
        <v>INCLUDED</v>
      </c>
      <c r="Q37" s="516">
        <f t="shared" si="3"/>
        <v>0</v>
      </c>
      <c r="R37" s="452">
        <f t="shared" si="4"/>
        <v>0</v>
      </c>
      <c r="S37" s="640">
        <f>Discount!$J$36</f>
        <v>0</v>
      </c>
      <c r="T37" s="452">
        <f t="shared" si="5"/>
        <v>0</v>
      </c>
      <c r="U37" s="453">
        <f t="shared" si="6"/>
        <v>0</v>
      </c>
      <c r="V37" s="767">
        <f t="shared" si="7"/>
        <v>0</v>
      </c>
      <c r="W37" s="264"/>
      <c r="X37" s="264"/>
      <c r="Y37" s="264"/>
      <c r="Z37" s="264"/>
      <c r="AA37" s="264"/>
    </row>
    <row r="38" spans="1:27" ht="31.5">
      <c r="A38" s="744">
        <v>21</v>
      </c>
      <c r="B38" s="771">
        <v>7000018791</v>
      </c>
      <c r="C38" s="771">
        <v>460</v>
      </c>
      <c r="D38" s="771">
        <v>1530</v>
      </c>
      <c r="E38" s="771">
        <v>30</v>
      </c>
      <c r="F38" s="771" t="s">
        <v>650</v>
      </c>
      <c r="G38" s="771">
        <v>100000888</v>
      </c>
      <c r="H38" s="771">
        <v>998734</v>
      </c>
      <c r="I38" s="561"/>
      <c r="J38" s="560">
        <v>18</v>
      </c>
      <c r="K38" s="559"/>
      <c r="L38" s="773" t="s">
        <v>510</v>
      </c>
      <c r="M38" s="771" t="s">
        <v>300</v>
      </c>
      <c r="N38" s="771">
        <v>2</v>
      </c>
      <c r="O38" s="547"/>
      <c r="P38" s="558" t="str">
        <f t="shared" si="2"/>
        <v>INCLUDED</v>
      </c>
      <c r="Q38" s="516">
        <f t="shared" si="3"/>
        <v>0</v>
      </c>
      <c r="R38" s="452">
        <f t="shared" si="4"/>
        <v>0</v>
      </c>
      <c r="S38" s="640">
        <f>Discount!$J$36</f>
        <v>0</v>
      </c>
      <c r="T38" s="452">
        <f t="shared" si="5"/>
        <v>0</v>
      </c>
      <c r="U38" s="453">
        <f t="shared" si="6"/>
        <v>0</v>
      </c>
      <c r="V38" s="767">
        <f t="shared" si="7"/>
        <v>0</v>
      </c>
      <c r="W38" s="264"/>
      <c r="X38" s="264"/>
      <c r="Y38" s="264"/>
      <c r="Z38" s="264"/>
      <c r="AA38" s="264"/>
    </row>
    <row r="39" spans="1:27">
      <c r="A39" s="744">
        <v>22</v>
      </c>
      <c r="B39" s="771">
        <v>7000018791</v>
      </c>
      <c r="C39" s="771">
        <v>460</v>
      </c>
      <c r="D39" s="771">
        <v>1530</v>
      </c>
      <c r="E39" s="771">
        <v>40</v>
      </c>
      <c r="F39" s="771" t="s">
        <v>650</v>
      </c>
      <c r="G39" s="771">
        <v>100000890</v>
      </c>
      <c r="H39" s="771">
        <v>998734</v>
      </c>
      <c r="I39" s="561"/>
      <c r="J39" s="560">
        <v>18</v>
      </c>
      <c r="K39" s="559"/>
      <c r="L39" s="773" t="s">
        <v>509</v>
      </c>
      <c r="M39" s="771" t="s">
        <v>300</v>
      </c>
      <c r="N39" s="771">
        <v>2</v>
      </c>
      <c r="O39" s="547"/>
      <c r="P39" s="558" t="str">
        <f t="shared" si="2"/>
        <v>INCLUDED</v>
      </c>
      <c r="Q39" s="516">
        <f t="shared" si="3"/>
        <v>0</v>
      </c>
      <c r="R39" s="452">
        <f t="shared" si="4"/>
        <v>0</v>
      </c>
      <c r="S39" s="640">
        <f>Discount!$J$36</f>
        <v>0</v>
      </c>
      <c r="T39" s="452">
        <f t="shared" si="5"/>
        <v>0</v>
      </c>
      <c r="U39" s="453">
        <f t="shared" si="6"/>
        <v>0</v>
      </c>
      <c r="V39" s="767">
        <f t="shared" si="7"/>
        <v>0</v>
      </c>
      <c r="W39" s="264"/>
      <c r="X39" s="264"/>
      <c r="Y39" s="264"/>
      <c r="Z39" s="264"/>
      <c r="AA39" s="264"/>
    </row>
    <row r="40" spans="1:27">
      <c r="A40" s="744">
        <v>23</v>
      </c>
      <c r="B40" s="771">
        <v>7000018791</v>
      </c>
      <c r="C40" s="771">
        <v>460</v>
      </c>
      <c r="D40" s="771">
        <v>1530</v>
      </c>
      <c r="E40" s="771">
        <v>50</v>
      </c>
      <c r="F40" s="771" t="s">
        <v>650</v>
      </c>
      <c r="G40" s="771">
        <v>100000891</v>
      </c>
      <c r="H40" s="771">
        <v>998734</v>
      </c>
      <c r="I40" s="561"/>
      <c r="J40" s="560">
        <v>18</v>
      </c>
      <c r="K40" s="559"/>
      <c r="L40" s="773" t="s">
        <v>505</v>
      </c>
      <c r="M40" s="771" t="s">
        <v>300</v>
      </c>
      <c r="N40" s="771">
        <v>2</v>
      </c>
      <c r="O40" s="547"/>
      <c r="P40" s="558" t="str">
        <f t="shared" si="2"/>
        <v>INCLUDED</v>
      </c>
      <c r="Q40" s="516">
        <f t="shared" si="3"/>
        <v>0</v>
      </c>
      <c r="R40" s="452">
        <f t="shared" si="4"/>
        <v>0</v>
      </c>
      <c r="S40" s="640">
        <f>Discount!$J$36</f>
        <v>0</v>
      </c>
      <c r="T40" s="452">
        <f t="shared" si="5"/>
        <v>0</v>
      </c>
      <c r="U40" s="453">
        <f t="shared" si="6"/>
        <v>0</v>
      </c>
      <c r="V40" s="767">
        <f t="shared" si="7"/>
        <v>0</v>
      </c>
      <c r="W40" s="264"/>
      <c r="X40" s="264"/>
      <c r="Y40" s="264"/>
      <c r="Z40" s="264"/>
      <c r="AA40" s="264"/>
    </row>
    <row r="41" spans="1:27">
      <c r="A41" s="744">
        <v>24</v>
      </c>
      <c r="B41" s="771">
        <v>7000018791</v>
      </c>
      <c r="C41" s="771">
        <v>460</v>
      </c>
      <c r="D41" s="771">
        <v>1530</v>
      </c>
      <c r="E41" s="771">
        <v>60</v>
      </c>
      <c r="F41" s="771" t="s">
        <v>650</v>
      </c>
      <c r="G41" s="771">
        <v>100003517</v>
      </c>
      <c r="H41" s="771">
        <v>998734</v>
      </c>
      <c r="I41" s="561"/>
      <c r="J41" s="560">
        <v>18</v>
      </c>
      <c r="K41" s="559"/>
      <c r="L41" s="773" t="s">
        <v>528</v>
      </c>
      <c r="M41" s="771" t="s">
        <v>302</v>
      </c>
      <c r="N41" s="771">
        <v>1</v>
      </c>
      <c r="O41" s="547"/>
      <c r="P41" s="558" t="str">
        <f t="shared" si="2"/>
        <v>INCLUDED</v>
      </c>
      <c r="Q41" s="516">
        <f t="shared" si="3"/>
        <v>0</v>
      </c>
      <c r="R41" s="452">
        <f t="shared" si="4"/>
        <v>0</v>
      </c>
      <c r="S41" s="640">
        <f>Discount!$J$36</f>
        <v>0</v>
      </c>
      <c r="T41" s="452">
        <f t="shared" si="5"/>
        <v>0</v>
      </c>
      <c r="U41" s="453">
        <f t="shared" si="6"/>
        <v>0</v>
      </c>
      <c r="V41" s="767">
        <f t="shared" si="7"/>
        <v>0</v>
      </c>
      <c r="W41" s="264"/>
      <c r="X41" s="264"/>
      <c r="Y41" s="264"/>
      <c r="Z41" s="264"/>
      <c r="AA41" s="264"/>
    </row>
    <row r="42" spans="1:27" ht="31.5">
      <c r="A42" s="744">
        <v>25</v>
      </c>
      <c r="B42" s="771">
        <v>7000018791</v>
      </c>
      <c r="C42" s="771">
        <v>470</v>
      </c>
      <c r="D42" s="771">
        <v>1590</v>
      </c>
      <c r="E42" s="771">
        <v>20</v>
      </c>
      <c r="F42" s="771" t="s">
        <v>552</v>
      </c>
      <c r="G42" s="771">
        <v>100002182</v>
      </c>
      <c r="H42" s="771">
        <v>998736</v>
      </c>
      <c r="I42" s="561"/>
      <c r="J42" s="560">
        <v>18</v>
      </c>
      <c r="K42" s="559"/>
      <c r="L42" s="773" t="s">
        <v>481</v>
      </c>
      <c r="M42" s="771" t="s">
        <v>479</v>
      </c>
      <c r="N42" s="771">
        <v>1</v>
      </c>
      <c r="O42" s="547"/>
      <c r="P42" s="558" t="str">
        <f t="shared" si="2"/>
        <v>INCLUDED</v>
      </c>
      <c r="Q42" s="516">
        <f t="shared" si="3"/>
        <v>0</v>
      </c>
      <c r="R42" s="452">
        <f t="shared" si="4"/>
        <v>0</v>
      </c>
      <c r="S42" s="640">
        <f>Discount!$J$36</f>
        <v>0</v>
      </c>
      <c r="T42" s="452">
        <f t="shared" si="5"/>
        <v>0</v>
      </c>
      <c r="U42" s="453">
        <f t="shared" si="6"/>
        <v>0</v>
      </c>
      <c r="V42" s="767">
        <f t="shared" si="7"/>
        <v>0</v>
      </c>
      <c r="W42" s="264"/>
      <c r="X42" s="264"/>
      <c r="Y42" s="264"/>
      <c r="Z42" s="264"/>
      <c r="AA42" s="264"/>
    </row>
    <row r="43" spans="1:27" ht="31.5">
      <c r="A43" s="744">
        <v>26</v>
      </c>
      <c r="B43" s="771">
        <v>7000018791</v>
      </c>
      <c r="C43" s="771">
        <v>470</v>
      </c>
      <c r="D43" s="771">
        <v>1590</v>
      </c>
      <c r="E43" s="771">
        <v>30</v>
      </c>
      <c r="F43" s="771" t="s">
        <v>552</v>
      </c>
      <c r="G43" s="771">
        <v>100002181</v>
      </c>
      <c r="H43" s="771">
        <v>998736</v>
      </c>
      <c r="I43" s="561"/>
      <c r="J43" s="560">
        <v>18</v>
      </c>
      <c r="K43" s="559"/>
      <c r="L43" s="773" t="s">
        <v>480</v>
      </c>
      <c r="M43" s="771" t="s">
        <v>479</v>
      </c>
      <c r="N43" s="771">
        <v>1</v>
      </c>
      <c r="O43" s="547"/>
      <c r="P43" s="558" t="str">
        <f t="shared" si="2"/>
        <v>INCLUDED</v>
      </c>
      <c r="Q43" s="516">
        <f t="shared" si="3"/>
        <v>0</v>
      </c>
      <c r="R43" s="452">
        <f t="shared" si="4"/>
        <v>0</v>
      </c>
      <c r="S43" s="640">
        <f>Discount!$J$36</f>
        <v>0</v>
      </c>
      <c r="T43" s="452">
        <f t="shared" si="5"/>
        <v>0</v>
      </c>
      <c r="U43" s="453">
        <f t="shared" si="6"/>
        <v>0</v>
      </c>
      <c r="V43" s="767">
        <f t="shared" si="7"/>
        <v>0</v>
      </c>
      <c r="W43" s="264"/>
      <c r="X43" s="264"/>
      <c r="Y43" s="264"/>
      <c r="Z43" s="264"/>
      <c r="AA43" s="264"/>
    </row>
    <row r="44" spans="1:27" ht="31.5">
      <c r="A44" s="744">
        <v>27</v>
      </c>
      <c r="B44" s="771">
        <v>7000018791</v>
      </c>
      <c r="C44" s="771">
        <v>480</v>
      </c>
      <c r="D44" s="771">
        <v>1610</v>
      </c>
      <c r="E44" s="771">
        <v>10</v>
      </c>
      <c r="F44" s="771" t="s">
        <v>553</v>
      </c>
      <c r="G44" s="771">
        <v>100000978</v>
      </c>
      <c r="H44" s="771">
        <v>998736</v>
      </c>
      <c r="I44" s="561"/>
      <c r="J44" s="560">
        <v>18</v>
      </c>
      <c r="K44" s="559"/>
      <c r="L44" s="773" t="s">
        <v>662</v>
      </c>
      <c r="M44" s="771" t="s">
        <v>300</v>
      </c>
      <c r="N44" s="771">
        <v>1</v>
      </c>
      <c r="O44" s="547"/>
      <c r="P44" s="558" t="str">
        <f t="shared" si="2"/>
        <v>INCLUDED</v>
      </c>
      <c r="Q44" s="516">
        <f t="shared" si="3"/>
        <v>0</v>
      </c>
      <c r="R44" s="452">
        <f t="shared" si="4"/>
        <v>0</v>
      </c>
      <c r="S44" s="640">
        <f>Discount!$J$36</f>
        <v>0</v>
      </c>
      <c r="T44" s="452">
        <f t="shared" si="5"/>
        <v>0</v>
      </c>
      <c r="U44" s="453">
        <f t="shared" si="6"/>
        <v>0</v>
      </c>
      <c r="V44" s="767">
        <f t="shared" si="7"/>
        <v>0</v>
      </c>
      <c r="W44" s="264"/>
      <c r="X44" s="264"/>
      <c r="Y44" s="264"/>
      <c r="Z44" s="264"/>
      <c r="AA44" s="264"/>
    </row>
    <row r="45" spans="1:27" ht="31.5">
      <c r="A45" s="744">
        <v>28</v>
      </c>
      <c r="B45" s="771">
        <v>7000018791</v>
      </c>
      <c r="C45" s="771">
        <v>490</v>
      </c>
      <c r="D45" s="771">
        <v>1620</v>
      </c>
      <c r="E45" s="771">
        <v>10</v>
      </c>
      <c r="F45" s="771" t="s">
        <v>554</v>
      </c>
      <c r="G45" s="771">
        <v>100001022</v>
      </c>
      <c r="H45" s="771">
        <v>998731</v>
      </c>
      <c r="I45" s="561"/>
      <c r="J45" s="560">
        <v>18</v>
      </c>
      <c r="K45" s="559"/>
      <c r="L45" s="773" t="s">
        <v>525</v>
      </c>
      <c r="M45" s="771" t="s">
        <v>300</v>
      </c>
      <c r="N45" s="771">
        <v>1</v>
      </c>
      <c r="O45" s="547"/>
      <c r="P45" s="558" t="str">
        <f t="shared" si="2"/>
        <v>INCLUDED</v>
      </c>
      <c r="Q45" s="516">
        <f t="shared" si="3"/>
        <v>0</v>
      </c>
      <c r="R45" s="452">
        <f t="shared" si="4"/>
        <v>0</v>
      </c>
      <c r="S45" s="640">
        <f>Discount!$J$36</f>
        <v>0</v>
      </c>
      <c r="T45" s="452">
        <f t="shared" si="5"/>
        <v>0</v>
      </c>
      <c r="U45" s="453">
        <f t="shared" si="6"/>
        <v>0</v>
      </c>
      <c r="V45" s="767">
        <f t="shared" si="7"/>
        <v>0</v>
      </c>
      <c r="W45" s="264"/>
      <c r="X45" s="264"/>
      <c r="Y45" s="264"/>
      <c r="Z45" s="264"/>
      <c r="AA45" s="264"/>
    </row>
    <row r="46" spans="1:27" ht="31.5">
      <c r="A46" s="744">
        <v>29</v>
      </c>
      <c r="B46" s="771">
        <v>7000018791</v>
      </c>
      <c r="C46" s="771">
        <v>490</v>
      </c>
      <c r="D46" s="771">
        <v>1620</v>
      </c>
      <c r="E46" s="771">
        <v>20</v>
      </c>
      <c r="F46" s="771" t="s">
        <v>554</v>
      </c>
      <c r="G46" s="771">
        <v>100001024</v>
      </c>
      <c r="H46" s="771">
        <v>998731</v>
      </c>
      <c r="I46" s="561"/>
      <c r="J46" s="560">
        <v>18</v>
      </c>
      <c r="K46" s="559"/>
      <c r="L46" s="773" t="s">
        <v>478</v>
      </c>
      <c r="M46" s="771" t="s">
        <v>300</v>
      </c>
      <c r="N46" s="771">
        <v>1</v>
      </c>
      <c r="O46" s="547"/>
      <c r="P46" s="558" t="str">
        <f t="shared" si="2"/>
        <v>INCLUDED</v>
      </c>
      <c r="Q46" s="516">
        <f t="shared" si="3"/>
        <v>0</v>
      </c>
      <c r="R46" s="452">
        <f t="shared" si="4"/>
        <v>0</v>
      </c>
      <c r="S46" s="640">
        <f>Discount!$J$36</f>
        <v>0</v>
      </c>
      <c r="T46" s="452">
        <f t="shared" si="5"/>
        <v>0</v>
      </c>
      <c r="U46" s="453">
        <f t="shared" si="6"/>
        <v>0</v>
      </c>
      <c r="V46" s="767">
        <f t="shared" si="7"/>
        <v>0</v>
      </c>
      <c r="W46" s="264"/>
      <c r="X46" s="264"/>
      <c r="Y46" s="264"/>
      <c r="Z46" s="264"/>
      <c r="AA46" s="264"/>
    </row>
    <row r="47" spans="1:27" ht="31.5">
      <c r="A47" s="744">
        <v>30</v>
      </c>
      <c r="B47" s="771">
        <v>7000018791</v>
      </c>
      <c r="C47" s="771">
        <v>490</v>
      </c>
      <c r="D47" s="771">
        <v>1620</v>
      </c>
      <c r="E47" s="771">
        <v>30</v>
      </c>
      <c r="F47" s="771" t="s">
        <v>554</v>
      </c>
      <c r="G47" s="771">
        <v>100004926</v>
      </c>
      <c r="H47" s="771">
        <v>998731</v>
      </c>
      <c r="I47" s="561"/>
      <c r="J47" s="560">
        <v>18</v>
      </c>
      <c r="K47" s="559"/>
      <c r="L47" s="773" t="s">
        <v>663</v>
      </c>
      <c r="M47" s="771" t="s">
        <v>300</v>
      </c>
      <c r="N47" s="771">
        <v>4</v>
      </c>
      <c r="O47" s="547"/>
      <c r="P47" s="558" t="str">
        <f t="shared" si="2"/>
        <v>INCLUDED</v>
      </c>
      <c r="Q47" s="516">
        <f t="shared" si="3"/>
        <v>0</v>
      </c>
      <c r="R47" s="452">
        <f t="shared" si="4"/>
        <v>0</v>
      </c>
      <c r="S47" s="640">
        <f>Discount!$J$36</f>
        <v>0</v>
      </c>
      <c r="T47" s="452">
        <f t="shared" si="5"/>
        <v>0</v>
      </c>
      <c r="U47" s="453">
        <f t="shared" si="6"/>
        <v>0</v>
      </c>
      <c r="V47" s="767">
        <f t="shared" si="7"/>
        <v>0</v>
      </c>
      <c r="W47" s="264"/>
      <c r="X47" s="264"/>
      <c r="Y47" s="264"/>
      <c r="Z47" s="264"/>
      <c r="AA47" s="264"/>
    </row>
    <row r="48" spans="1:27" ht="31.5">
      <c r="A48" s="744">
        <v>31</v>
      </c>
      <c r="B48" s="771">
        <v>7000018791</v>
      </c>
      <c r="C48" s="771">
        <v>490</v>
      </c>
      <c r="D48" s="771">
        <v>1620</v>
      </c>
      <c r="E48" s="771">
        <v>40</v>
      </c>
      <c r="F48" s="771" t="s">
        <v>554</v>
      </c>
      <c r="G48" s="771">
        <v>100004851</v>
      </c>
      <c r="H48" s="771">
        <v>998731</v>
      </c>
      <c r="I48" s="561"/>
      <c r="J48" s="560">
        <v>18</v>
      </c>
      <c r="K48" s="559"/>
      <c r="L48" s="773" t="s">
        <v>537</v>
      </c>
      <c r="M48" s="771" t="s">
        <v>300</v>
      </c>
      <c r="N48" s="771">
        <v>4</v>
      </c>
      <c r="O48" s="547"/>
      <c r="P48" s="558" t="str">
        <f t="shared" si="2"/>
        <v>INCLUDED</v>
      </c>
      <c r="Q48" s="516">
        <f t="shared" si="3"/>
        <v>0</v>
      </c>
      <c r="R48" s="452">
        <f t="shared" si="4"/>
        <v>0</v>
      </c>
      <c r="S48" s="640">
        <f>Discount!$J$36</f>
        <v>0</v>
      </c>
      <c r="T48" s="452">
        <f t="shared" si="5"/>
        <v>0</v>
      </c>
      <c r="U48" s="453">
        <f t="shared" si="6"/>
        <v>0</v>
      </c>
      <c r="V48" s="767">
        <f t="shared" si="7"/>
        <v>0</v>
      </c>
      <c r="W48" s="264"/>
      <c r="X48" s="264"/>
      <c r="Y48" s="264"/>
      <c r="Z48" s="264"/>
      <c r="AA48" s="264"/>
    </row>
    <row r="49" spans="1:27" ht="47.25">
      <c r="A49" s="744">
        <v>32</v>
      </c>
      <c r="B49" s="771">
        <v>7000018791</v>
      </c>
      <c r="C49" s="771">
        <v>500</v>
      </c>
      <c r="D49" s="771">
        <v>1650</v>
      </c>
      <c r="E49" s="771">
        <v>10</v>
      </c>
      <c r="F49" s="771" t="s">
        <v>555</v>
      </c>
      <c r="G49" s="771">
        <v>100001151</v>
      </c>
      <c r="H49" s="771">
        <v>995455</v>
      </c>
      <c r="I49" s="561"/>
      <c r="J49" s="560">
        <v>18</v>
      </c>
      <c r="K49" s="559"/>
      <c r="L49" s="773" t="s">
        <v>664</v>
      </c>
      <c r="M49" s="771" t="s">
        <v>300</v>
      </c>
      <c r="N49" s="771">
        <v>2</v>
      </c>
      <c r="O49" s="547"/>
      <c r="P49" s="558" t="str">
        <f t="shared" si="2"/>
        <v>INCLUDED</v>
      </c>
      <c r="Q49" s="516">
        <f t="shared" si="3"/>
        <v>0</v>
      </c>
      <c r="R49" s="452">
        <f t="shared" si="4"/>
        <v>0</v>
      </c>
      <c r="S49" s="640">
        <f>Discount!$J$36</f>
        <v>0</v>
      </c>
      <c r="T49" s="452">
        <f t="shared" si="5"/>
        <v>0</v>
      </c>
      <c r="U49" s="453">
        <f t="shared" si="6"/>
        <v>0</v>
      </c>
      <c r="V49" s="767">
        <f t="shared" si="7"/>
        <v>0</v>
      </c>
      <c r="W49" s="264"/>
      <c r="X49" s="264"/>
      <c r="Y49" s="264"/>
      <c r="Z49" s="264"/>
      <c r="AA49" s="264"/>
    </row>
    <row r="50" spans="1:27" ht="47.25">
      <c r="A50" s="744">
        <v>33</v>
      </c>
      <c r="B50" s="771">
        <v>7000018791</v>
      </c>
      <c r="C50" s="771">
        <v>500</v>
      </c>
      <c r="D50" s="771">
        <v>1650</v>
      </c>
      <c r="E50" s="771">
        <v>20</v>
      </c>
      <c r="F50" s="771" t="s">
        <v>555</v>
      </c>
      <c r="G50" s="771">
        <v>100001152</v>
      </c>
      <c r="H50" s="771">
        <v>995455</v>
      </c>
      <c r="I50" s="561"/>
      <c r="J50" s="560">
        <v>18</v>
      </c>
      <c r="K50" s="559"/>
      <c r="L50" s="773" t="s">
        <v>665</v>
      </c>
      <c r="M50" s="771" t="s">
        <v>300</v>
      </c>
      <c r="N50" s="771">
        <v>1</v>
      </c>
      <c r="O50" s="547"/>
      <c r="P50" s="558" t="str">
        <f t="shared" si="2"/>
        <v>INCLUDED</v>
      </c>
      <c r="Q50" s="516">
        <f t="shared" si="3"/>
        <v>0</v>
      </c>
      <c r="R50" s="452">
        <f t="shared" si="4"/>
        <v>0</v>
      </c>
      <c r="S50" s="640">
        <f>Discount!$J$36</f>
        <v>0</v>
      </c>
      <c r="T50" s="452">
        <f t="shared" si="5"/>
        <v>0</v>
      </c>
      <c r="U50" s="453">
        <f t="shared" si="6"/>
        <v>0</v>
      </c>
      <c r="V50" s="767">
        <f t="shared" si="7"/>
        <v>0</v>
      </c>
      <c r="W50" s="264"/>
      <c r="X50" s="264"/>
      <c r="Y50" s="264"/>
      <c r="Z50" s="264"/>
      <c r="AA50" s="264"/>
    </row>
    <row r="51" spans="1:27" ht="47.25">
      <c r="A51" s="744">
        <v>34</v>
      </c>
      <c r="B51" s="771">
        <v>7000018791</v>
      </c>
      <c r="C51" s="771">
        <v>500</v>
      </c>
      <c r="D51" s="771">
        <v>1650</v>
      </c>
      <c r="E51" s="771">
        <v>30</v>
      </c>
      <c r="F51" s="771" t="s">
        <v>555</v>
      </c>
      <c r="G51" s="771">
        <v>100001171</v>
      </c>
      <c r="H51" s="771">
        <v>995455</v>
      </c>
      <c r="I51" s="561"/>
      <c r="J51" s="560">
        <v>18</v>
      </c>
      <c r="K51" s="559"/>
      <c r="L51" s="773" t="s">
        <v>666</v>
      </c>
      <c r="M51" s="771" t="s">
        <v>300</v>
      </c>
      <c r="N51" s="771">
        <v>2</v>
      </c>
      <c r="O51" s="547"/>
      <c r="P51" s="558" t="str">
        <f t="shared" si="2"/>
        <v>INCLUDED</v>
      </c>
      <c r="Q51" s="516">
        <f t="shared" si="3"/>
        <v>0</v>
      </c>
      <c r="R51" s="452">
        <f t="shared" si="4"/>
        <v>0</v>
      </c>
      <c r="S51" s="640">
        <f>Discount!$J$36</f>
        <v>0</v>
      </c>
      <c r="T51" s="452">
        <f t="shared" si="5"/>
        <v>0</v>
      </c>
      <c r="U51" s="453">
        <f t="shared" si="6"/>
        <v>0</v>
      </c>
      <c r="V51" s="767">
        <f t="shared" si="7"/>
        <v>0</v>
      </c>
      <c r="W51" s="264"/>
      <c r="X51" s="264"/>
      <c r="Y51" s="264"/>
      <c r="Z51" s="264"/>
      <c r="AA51" s="264"/>
    </row>
    <row r="52" spans="1:27" ht="63">
      <c r="A52" s="744">
        <v>35</v>
      </c>
      <c r="B52" s="771">
        <v>7000018791</v>
      </c>
      <c r="C52" s="771">
        <v>510</v>
      </c>
      <c r="D52" s="771">
        <v>1660</v>
      </c>
      <c r="E52" s="771">
        <v>10</v>
      </c>
      <c r="F52" s="771" t="s">
        <v>556</v>
      </c>
      <c r="G52" s="771">
        <v>100001217</v>
      </c>
      <c r="H52" s="771">
        <v>995455</v>
      </c>
      <c r="I52" s="561"/>
      <c r="J52" s="560">
        <v>18</v>
      </c>
      <c r="K52" s="559"/>
      <c r="L52" s="773" t="s">
        <v>667</v>
      </c>
      <c r="M52" s="771" t="s">
        <v>300</v>
      </c>
      <c r="N52" s="771">
        <v>40</v>
      </c>
      <c r="O52" s="547"/>
      <c r="P52" s="558" t="str">
        <f t="shared" si="2"/>
        <v>INCLUDED</v>
      </c>
      <c r="Q52" s="516">
        <f t="shared" si="3"/>
        <v>0</v>
      </c>
      <c r="R52" s="452">
        <f t="shared" si="4"/>
        <v>0</v>
      </c>
      <c r="S52" s="640">
        <f>Discount!$J$36</f>
        <v>0</v>
      </c>
      <c r="T52" s="452">
        <f t="shared" si="5"/>
        <v>0</v>
      </c>
      <c r="U52" s="453">
        <f t="shared" si="6"/>
        <v>0</v>
      </c>
      <c r="V52" s="767">
        <f t="shared" si="7"/>
        <v>0</v>
      </c>
      <c r="W52" s="264"/>
      <c r="X52" s="264"/>
      <c r="Y52" s="264"/>
      <c r="Z52" s="264"/>
      <c r="AA52" s="264"/>
    </row>
    <row r="53" spans="1:27" ht="47.25">
      <c r="A53" s="744">
        <v>36</v>
      </c>
      <c r="B53" s="771">
        <v>7000018791</v>
      </c>
      <c r="C53" s="771">
        <v>510</v>
      </c>
      <c r="D53" s="771">
        <v>1660</v>
      </c>
      <c r="E53" s="771">
        <v>20</v>
      </c>
      <c r="F53" s="771" t="s">
        <v>556</v>
      </c>
      <c r="G53" s="771">
        <v>100001213</v>
      </c>
      <c r="H53" s="771">
        <v>995455</v>
      </c>
      <c r="I53" s="561"/>
      <c r="J53" s="560">
        <v>18</v>
      </c>
      <c r="K53" s="559"/>
      <c r="L53" s="773" t="s">
        <v>668</v>
      </c>
      <c r="M53" s="771" t="s">
        <v>300</v>
      </c>
      <c r="N53" s="771">
        <v>6</v>
      </c>
      <c r="O53" s="547"/>
      <c r="P53" s="558" t="str">
        <f t="shared" si="2"/>
        <v>INCLUDED</v>
      </c>
      <c r="Q53" s="516">
        <f t="shared" si="3"/>
        <v>0</v>
      </c>
      <c r="R53" s="452">
        <f t="shared" si="4"/>
        <v>0</v>
      </c>
      <c r="S53" s="640">
        <f>Discount!$J$36</f>
        <v>0</v>
      </c>
      <c r="T53" s="452">
        <f t="shared" si="5"/>
        <v>0</v>
      </c>
      <c r="U53" s="453">
        <f t="shared" si="6"/>
        <v>0</v>
      </c>
      <c r="V53" s="767">
        <f t="shared" si="7"/>
        <v>0</v>
      </c>
      <c r="W53" s="264"/>
      <c r="X53" s="264"/>
      <c r="Y53" s="264"/>
      <c r="Z53" s="264"/>
      <c r="AA53" s="264"/>
    </row>
    <row r="54" spans="1:27" ht="47.25">
      <c r="A54" s="744">
        <v>37</v>
      </c>
      <c r="B54" s="771">
        <v>7000018791</v>
      </c>
      <c r="C54" s="771">
        <v>510</v>
      </c>
      <c r="D54" s="771">
        <v>1660</v>
      </c>
      <c r="E54" s="771">
        <v>30</v>
      </c>
      <c r="F54" s="771" t="s">
        <v>556</v>
      </c>
      <c r="G54" s="771">
        <v>100001216</v>
      </c>
      <c r="H54" s="771">
        <v>995455</v>
      </c>
      <c r="I54" s="561"/>
      <c r="J54" s="560">
        <v>18</v>
      </c>
      <c r="K54" s="559"/>
      <c r="L54" s="773" t="s">
        <v>669</v>
      </c>
      <c r="M54" s="771" t="s">
        <v>300</v>
      </c>
      <c r="N54" s="771">
        <v>6</v>
      </c>
      <c r="O54" s="547"/>
      <c r="P54" s="558" t="str">
        <f t="shared" si="2"/>
        <v>INCLUDED</v>
      </c>
      <c r="Q54" s="516">
        <f t="shared" si="3"/>
        <v>0</v>
      </c>
      <c r="R54" s="452">
        <f t="shared" si="4"/>
        <v>0</v>
      </c>
      <c r="S54" s="640">
        <f>Discount!$J$36</f>
        <v>0</v>
      </c>
      <c r="T54" s="452">
        <f t="shared" si="5"/>
        <v>0</v>
      </c>
      <c r="U54" s="453">
        <f t="shared" si="6"/>
        <v>0</v>
      </c>
      <c r="V54" s="767">
        <f t="shared" si="7"/>
        <v>0</v>
      </c>
      <c r="W54" s="264"/>
      <c r="X54" s="264"/>
      <c r="Y54" s="264"/>
      <c r="Z54" s="264"/>
      <c r="AA54" s="264"/>
    </row>
    <row r="55" spans="1:27" ht="47.25">
      <c r="A55" s="744">
        <v>38</v>
      </c>
      <c r="B55" s="771">
        <v>7000018791</v>
      </c>
      <c r="C55" s="771">
        <v>510</v>
      </c>
      <c r="D55" s="771">
        <v>1660</v>
      </c>
      <c r="E55" s="771">
        <v>40</v>
      </c>
      <c r="F55" s="771" t="s">
        <v>556</v>
      </c>
      <c r="G55" s="771">
        <v>100001215</v>
      </c>
      <c r="H55" s="771">
        <v>995455</v>
      </c>
      <c r="I55" s="561"/>
      <c r="J55" s="560">
        <v>18</v>
      </c>
      <c r="K55" s="559"/>
      <c r="L55" s="773" t="s">
        <v>670</v>
      </c>
      <c r="M55" s="771" t="s">
        <v>300</v>
      </c>
      <c r="N55" s="771">
        <v>4</v>
      </c>
      <c r="O55" s="547"/>
      <c r="P55" s="558" t="str">
        <f t="shared" si="2"/>
        <v>INCLUDED</v>
      </c>
      <c r="Q55" s="516">
        <f t="shared" si="3"/>
        <v>0</v>
      </c>
      <c r="R55" s="452">
        <f t="shared" si="4"/>
        <v>0</v>
      </c>
      <c r="S55" s="640">
        <f>Discount!$J$36</f>
        <v>0</v>
      </c>
      <c r="T55" s="452">
        <f t="shared" si="5"/>
        <v>0</v>
      </c>
      <c r="U55" s="453">
        <f t="shared" si="6"/>
        <v>0</v>
      </c>
      <c r="V55" s="767">
        <f t="shared" si="7"/>
        <v>0</v>
      </c>
      <c r="W55" s="264"/>
      <c r="X55" s="264"/>
      <c r="Y55" s="264"/>
      <c r="Z55" s="264"/>
      <c r="AA55" s="264"/>
    </row>
    <row r="56" spans="1:27" ht="31.5">
      <c r="A56" s="744">
        <v>39</v>
      </c>
      <c r="B56" s="771">
        <v>7000018791</v>
      </c>
      <c r="C56" s="771">
        <v>940</v>
      </c>
      <c r="D56" s="771">
        <v>1740</v>
      </c>
      <c r="E56" s="771">
        <v>10</v>
      </c>
      <c r="F56" s="771" t="s">
        <v>651</v>
      </c>
      <c r="G56" s="771">
        <v>100002452</v>
      </c>
      <c r="H56" s="771">
        <v>995455</v>
      </c>
      <c r="I56" s="561"/>
      <c r="J56" s="560">
        <v>18</v>
      </c>
      <c r="K56" s="559"/>
      <c r="L56" s="773" t="s">
        <v>671</v>
      </c>
      <c r="M56" s="771" t="s">
        <v>300</v>
      </c>
      <c r="N56" s="771">
        <v>1</v>
      </c>
      <c r="O56" s="547"/>
      <c r="P56" s="558" t="str">
        <f t="shared" si="2"/>
        <v>INCLUDED</v>
      </c>
      <c r="Q56" s="516">
        <f t="shared" si="3"/>
        <v>0</v>
      </c>
      <c r="R56" s="452">
        <f t="shared" si="4"/>
        <v>0</v>
      </c>
      <c r="S56" s="640">
        <f>Discount!$J$36</f>
        <v>0</v>
      </c>
      <c r="T56" s="452">
        <f t="shared" si="5"/>
        <v>0</v>
      </c>
      <c r="U56" s="453">
        <f t="shared" si="6"/>
        <v>0</v>
      </c>
      <c r="V56" s="767">
        <f t="shared" si="7"/>
        <v>0</v>
      </c>
      <c r="W56" s="264"/>
      <c r="X56" s="264"/>
      <c r="Y56" s="264"/>
      <c r="Z56" s="264"/>
      <c r="AA56" s="264"/>
    </row>
    <row r="57" spans="1:27" ht="94.5">
      <c r="A57" s="744">
        <v>40</v>
      </c>
      <c r="B57" s="771">
        <v>7000018791</v>
      </c>
      <c r="C57" s="771">
        <v>1080</v>
      </c>
      <c r="D57" s="771">
        <v>1770</v>
      </c>
      <c r="E57" s="771">
        <v>10</v>
      </c>
      <c r="F57" s="771" t="s">
        <v>652</v>
      </c>
      <c r="G57" s="771">
        <v>100002812</v>
      </c>
      <c r="H57" s="771">
        <v>998734</v>
      </c>
      <c r="I57" s="561"/>
      <c r="J57" s="560">
        <v>18</v>
      </c>
      <c r="K57" s="559"/>
      <c r="L57" s="773" t="s">
        <v>529</v>
      </c>
      <c r="M57" s="771" t="s">
        <v>300</v>
      </c>
      <c r="N57" s="771">
        <v>1</v>
      </c>
      <c r="O57" s="547"/>
      <c r="P57" s="558" t="str">
        <f t="shared" si="2"/>
        <v>INCLUDED</v>
      </c>
      <c r="Q57" s="516">
        <f t="shared" si="3"/>
        <v>0</v>
      </c>
      <c r="R57" s="452">
        <f t="shared" si="4"/>
        <v>0</v>
      </c>
      <c r="S57" s="640">
        <f>Discount!$J$36</f>
        <v>0</v>
      </c>
      <c r="T57" s="452">
        <f t="shared" si="5"/>
        <v>0</v>
      </c>
      <c r="U57" s="453">
        <f t="shared" si="6"/>
        <v>0</v>
      </c>
      <c r="V57" s="767">
        <f t="shared" si="7"/>
        <v>0</v>
      </c>
      <c r="W57" s="264"/>
      <c r="X57" s="264"/>
      <c r="Y57" s="264"/>
      <c r="Z57" s="264"/>
      <c r="AA57" s="264"/>
    </row>
    <row r="58" spans="1:27" ht="31.5">
      <c r="A58" s="744">
        <v>41</v>
      </c>
      <c r="B58" s="771">
        <v>7000018791</v>
      </c>
      <c r="C58" s="771">
        <v>1080</v>
      </c>
      <c r="D58" s="771">
        <v>1770</v>
      </c>
      <c r="E58" s="771">
        <v>20</v>
      </c>
      <c r="F58" s="771" t="s">
        <v>652</v>
      </c>
      <c r="G58" s="771">
        <v>170000433</v>
      </c>
      <c r="H58" s="771">
        <v>998734</v>
      </c>
      <c r="I58" s="561"/>
      <c r="J58" s="560">
        <v>18</v>
      </c>
      <c r="K58" s="559"/>
      <c r="L58" s="773" t="s">
        <v>530</v>
      </c>
      <c r="M58" s="771" t="s">
        <v>300</v>
      </c>
      <c r="N58" s="771">
        <v>4</v>
      </c>
      <c r="O58" s="547"/>
      <c r="P58" s="558" t="str">
        <f t="shared" si="2"/>
        <v>INCLUDED</v>
      </c>
      <c r="Q58" s="516">
        <f t="shared" si="3"/>
        <v>0</v>
      </c>
      <c r="R58" s="452">
        <f t="shared" si="4"/>
        <v>0</v>
      </c>
      <c r="S58" s="640">
        <f>Discount!$J$36</f>
        <v>0</v>
      </c>
      <c r="T58" s="452">
        <f t="shared" si="5"/>
        <v>0</v>
      </c>
      <c r="U58" s="453">
        <f t="shared" si="6"/>
        <v>0</v>
      </c>
      <c r="V58" s="767">
        <f t="shared" si="7"/>
        <v>0</v>
      </c>
      <c r="W58" s="264"/>
      <c r="X58" s="264"/>
      <c r="Y58" s="264"/>
      <c r="Z58" s="264"/>
      <c r="AA58" s="264"/>
    </row>
    <row r="59" spans="1:27" ht="31.5">
      <c r="A59" s="744">
        <v>42</v>
      </c>
      <c r="B59" s="771">
        <v>7000018791</v>
      </c>
      <c r="C59" s="771">
        <v>1080</v>
      </c>
      <c r="D59" s="771">
        <v>1770</v>
      </c>
      <c r="E59" s="771">
        <v>30</v>
      </c>
      <c r="F59" s="771" t="s">
        <v>652</v>
      </c>
      <c r="G59" s="771">
        <v>100003449</v>
      </c>
      <c r="H59" s="771">
        <v>998734</v>
      </c>
      <c r="I59" s="561"/>
      <c r="J59" s="560">
        <v>18</v>
      </c>
      <c r="K59" s="559"/>
      <c r="L59" s="773" t="s">
        <v>672</v>
      </c>
      <c r="M59" s="771" t="s">
        <v>300</v>
      </c>
      <c r="N59" s="771">
        <v>4</v>
      </c>
      <c r="O59" s="547"/>
      <c r="P59" s="558" t="str">
        <f t="shared" si="2"/>
        <v>INCLUDED</v>
      </c>
      <c r="Q59" s="516">
        <f t="shared" si="3"/>
        <v>0</v>
      </c>
      <c r="R59" s="452">
        <f t="shared" si="4"/>
        <v>0</v>
      </c>
      <c r="S59" s="640">
        <f>Discount!$J$36</f>
        <v>0</v>
      </c>
      <c r="T59" s="452">
        <f t="shared" si="5"/>
        <v>0</v>
      </c>
      <c r="U59" s="453">
        <f t="shared" si="6"/>
        <v>0</v>
      </c>
      <c r="V59" s="767">
        <f t="shared" si="7"/>
        <v>0</v>
      </c>
      <c r="W59" s="264"/>
      <c r="X59" s="264"/>
      <c r="Y59" s="264"/>
      <c r="Z59" s="264"/>
      <c r="AA59" s="264"/>
    </row>
    <row r="60" spans="1:27">
      <c r="A60" s="744">
        <v>43</v>
      </c>
      <c r="B60" s="771">
        <v>7000018791</v>
      </c>
      <c r="C60" s="771">
        <v>1080</v>
      </c>
      <c r="D60" s="771">
        <v>1770</v>
      </c>
      <c r="E60" s="771">
        <v>40</v>
      </c>
      <c r="F60" s="771" t="s">
        <v>652</v>
      </c>
      <c r="G60" s="771">
        <v>100002825</v>
      </c>
      <c r="H60" s="771">
        <v>998734</v>
      </c>
      <c r="I60" s="561"/>
      <c r="J60" s="560">
        <v>18</v>
      </c>
      <c r="K60" s="559"/>
      <c r="L60" s="773" t="s">
        <v>511</v>
      </c>
      <c r="M60" s="771" t="s">
        <v>301</v>
      </c>
      <c r="N60" s="771">
        <v>2</v>
      </c>
      <c r="O60" s="547"/>
      <c r="P60" s="558" t="str">
        <f t="shared" si="2"/>
        <v>INCLUDED</v>
      </c>
      <c r="Q60" s="516">
        <f t="shared" si="3"/>
        <v>0</v>
      </c>
      <c r="R60" s="452">
        <f t="shared" si="4"/>
        <v>0</v>
      </c>
      <c r="S60" s="640">
        <f>Discount!$J$36</f>
        <v>0</v>
      </c>
      <c r="T60" s="452">
        <f t="shared" si="5"/>
        <v>0</v>
      </c>
      <c r="U60" s="453">
        <f t="shared" si="6"/>
        <v>0</v>
      </c>
      <c r="V60" s="767">
        <f t="shared" si="7"/>
        <v>0</v>
      </c>
      <c r="W60" s="264"/>
      <c r="X60" s="264"/>
      <c r="Y60" s="264"/>
      <c r="Z60" s="264"/>
      <c r="AA60" s="264"/>
    </row>
    <row r="61" spans="1:27" ht="31.5">
      <c r="A61" s="744">
        <v>44</v>
      </c>
      <c r="B61" s="771">
        <v>7000018791</v>
      </c>
      <c r="C61" s="771">
        <v>1080</v>
      </c>
      <c r="D61" s="771">
        <v>1770</v>
      </c>
      <c r="E61" s="771">
        <v>50</v>
      </c>
      <c r="F61" s="771" t="s">
        <v>652</v>
      </c>
      <c r="G61" s="771">
        <v>170000550</v>
      </c>
      <c r="H61" s="771">
        <v>998336</v>
      </c>
      <c r="I61" s="561"/>
      <c r="J61" s="560">
        <v>18</v>
      </c>
      <c r="K61" s="559"/>
      <c r="L61" s="773" t="s">
        <v>531</v>
      </c>
      <c r="M61" s="771" t="s">
        <v>300</v>
      </c>
      <c r="N61" s="771">
        <v>2</v>
      </c>
      <c r="O61" s="547"/>
      <c r="P61" s="558" t="str">
        <f t="shared" si="2"/>
        <v>INCLUDED</v>
      </c>
      <c r="Q61" s="516">
        <f t="shared" si="3"/>
        <v>0</v>
      </c>
      <c r="R61" s="452">
        <f t="shared" si="4"/>
        <v>0</v>
      </c>
      <c r="S61" s="640">
        <f>Discount!$J$36</f>
        <v>0</v>
      </c>
      <c r="T61" s="452">
        <f t="shared" si="5"/>
        <v>0</v>
      </c>
      <c r="U61" s="453">
        <f t="shared" si="6"/>
        <v>0</v>
      </c>
      <c r="V61" s="767">
        <f t="shared" si="7"/>
        <v>0</v>
      </c>
      <c r="W61" s="264"/>
      <c r="X61" s="264"/>
      <c r="Y61" s="264"/>
      <c r="Z61" s="264"/>
      <c r="AA61" s="264"/>
    </row>
    <row r="62" spans="1:27" ht="31.5">
      <c r="A62" s="744">
        <v>45</v>
      </c>
      <c r="B62" s="771">
        <v>7000018791</v>
      </c>
      <c r="C62" s="771">
        <v>1080</v>
      </c>
      <c r="D62" s="771">
        <v>1770</v>
      </c>
      <c r="E62" s="771">
        <v>60</v>
      </c>
      <c r="F62" s="771" t="s">
        <v>652</v>
      </c>
      <c r="G62" s="771">
        <v>100002829</v>
      </c>
      <c r="H62" s="771">
        <v>998734</v>
      </c>
      <c r="I62" s="561"/>
      <c r="J62" s="560">
        <v>18</v>
      </c>
      <c r="K62" s="559"/>
      <c r="L62" s="773" t="s">
        <v>532</v>
      </c>
      <c r="M62" s="771" t="s">
        <v>301</v>
      </c>
      <c r="N62" s="771">
        <v>1</v>
      </c>
      <c r="O62" s="547"/>
      <c r="P62" s="558" t="str">
        <f t="shared" si="2"/>
        <v>INCLUDED</v>
      </c>
      <c r="Q62" s="516">
        <f t="shared" si="3"/>
        <v>0</v>
      </c>
      <c r="R62" s="452">
        <f t="shared" si="4"/>
        <v>0</v>
      </c>
      <c r="S62" s="640">
        <f>Discount!$J$36</f>
        <v>0</v>
      </c>
      <c r="T62" s="452">
        <f t="shared" si="5"/>
        <v>0</v>
      </c>
      <c r="U62" s="453">
        <f t="shared" si="6"/>
        <v>0</v>
      </c>
      <c r="V62" s="767">
        <f t="shared" si="7"/>
        <v>0</v>
      </c>
      <c r="W62" s="264"/>
      <c r="X62" s="264"/>
      <c r="Y62" s="264"/>
      <c r="Z62" s="264"/>
      <c r="AA62" s="264"/>
    </row>
    <row r="63" spans="1:27">
      <c r="A63" s="744">
        <v>46</v>
      </c>
      <c r="B63" s="771">
        <v>7000018791</v>
      </c>
      <c r="C63" s="771">
        <v>1080</v>
      </c>
      <c r="D63" s="771">
        <v>1770</v>
      </c>
      <c r="E63" s="771">
        <v>70</v>
      </c>
      <c r="F63" s="771" t="s">
        <v>652</v>
      </c>
      <c r="G63" s="771">
        <v>170000375</v>
      </c>
      <c r="H63" s="771">
        <v>998734</v>
      </c>
      <c r="I63" s="561"/>
      <c r="J63" s="560">
        <v>18</v>
      </c>
      <c r="K63" s="559"/>
      <c r="L63" s="773" t="s">
        <v>512</v>
      </c>
      <c r="M63" s="771" t="s">
        <v>300</v>
      </c>
      <c r="N63" s="771">
        <v>1</v>
      </c>
      <c r="O63" s="547"/>
      <c r="P63" s="558" t="str">
        <f t="shared" si="2"/>
        <v>INCLUDED</v>
      </c>
      <c r="Q63" s="516">
        <f t="shared" si="3"/>
        <v>0</v>
      </c>
      <c r="R63" s="452">
        <f t="shared" si="4"/>
        <v>0</v>
      </c>
      <c r="S63" s="640">
        <f>Discount!$J$36</f>
        <v>0</v>
      </c>
      <c r="T63" s="452">
        <f t="shared" si="5"/>
        <v>0</v>
      </c>
      <c r="U63" s="453">
        <f t="shared" si="6"/>
        <v>0</v>
      </c>
      <c r="V63" s="767">
        <f t="shared" si="7"/>
        <v>0</v>
      </c>
      <c r="W63" s="264"/>
      <c r="X63" s="264"/>
      <c r="Y63" s="264"/>
      <c r="Z63" s="264"/>
      <c r="AA63" s="264"/>
    </row>
    <row r="64" spans="1:27">
      <c r="A64" s="744">
        <v>47</v>
      </c>
      <c r="B64" s="771">
        <v>7000018791</v>
      </c>
      <c r="C64" s="771">
        <v>1080</v>
      </c>
      <c r="D64" s="771">
        <v>1770</v>
      </c>
      <c r="E64" s="771">
        <v>80</v>
      </c>
      <c r="F64" s="771" t="s">
        <v>652</v>
      </c>
      <c r="G64" s="771">
        <v>170000376</v>
      </c>
      <c r="H64" s="771">
        <v>998734</v>
      </c>
      <c r="I64" s="561"/>
      <c r="J64" s="560">
        <v>18</v>
      </c>
      <c r="K64" s="559"/>
      <c r="L64" s="773" t="s">
        <v>513</v>
      </c>
      <c r="M64" s="771" t="s">
        <v>300</v>
      </c>
      <c r="N64" s="771">
        <v>1</v>
      </c>
      <c r="O64" s="547"/>
      <c r="P64" s="558" t="str">
        <f t="shared" si="2"/>
        <v>INCLUDED</v>
      </c>
      <c r="Q64" s="516">
        <f t="shared" si="3"/>
        <v>0</v>
      </c>
      <c r="R64" s="452">
        <f t="shared" si="4"/>
        <v>0</v>
      </c>
      <c r="S64" s="640">
        <f>Discount!$J$36</f>
        <v>0</v>
      </c>
      <c r="T64" s="452">
        <f t="shared" si="5"/>
        <v>0</v>
      </c>
      <c r="U64" s="453">
        <f t="shared" si="6"/>
        <v>0</v>
      </c>
      <c r="V64" s="767">
        <f t="shared" si="7"/>
        <v>0</v>
      </c>
      <c r="W64" s="264"/>
      <c r="X64" s="264"/>
      <c r="Y64" s="264"/>
      <c r="Z64" s="264"/>
      <c r="AA64" s="264"/>
    </row>
    <row r="65" spans="1:27">
      <c r="A65" s="744">
        <v>48</v>
      </c>
      <c r="B65" s="771">
        <v>7000018791</v>
      </c>
      <c r="C65" s="771">
        <v>1080</v>
      </c>
      <c r="D65" s="771">
        <v>1770</v>
      </c>
      <c r="E65" s="771">
        <v>90</v>
      </c>
      <c r="F65" s="771" t="s">
        <v>652</v>
      </c>
      <c r="G65" s="771">
        <v>170000377</v>
      </c>
      <c r="H65" s="771">
        <v>998734</v>
      </c>
      <c r="I65" s="561"/>
      <c r="J65" s="560">
        <v>18</v>
      </c>
      <c r="K65" s="559"/>
      <c r="L65" s="773" t="s">
        <v>514</v>
      </c>
      <c r="M65" s="771" t="s">
        <v>300</v>
      </c>
      <c r="N65" s="771">
        <v>1</v>
      </c>
      <c r="O65" s="547"/>
      <c r="P65" s="558" t="str">
        <f t="shared" si="2"/>
        <v>INCLUDED</v>
      </c>
      <c r="Q65" s="516">
        <f t="shared" si="3"/>
        <v>0</v>
      </c>
      <c r="R65" s="452">
        <f t="shared" si="4"/>
        <v>0</v>
      </c>
      <c r="S65" s="640">
        <f>Discount!$J$36</f>
        <v>0</v>
      </c>
      <c r="T65" s="452">
        <f t="shared" si="5"/>
        <v>0</v>
      </c>
      <c r="U65" s="453">
        <f t="shared" si="6"/>
        <v>0</v>
      </c>
      <c r="V65" s="767">
        <f t="shared" si="7"/>
        <v>0</v>
      </c>
      <c r="W65" s="264"/>
      <c r="X65" s="264"/>
      <c r="Y65" s="264"/>
      <c r="Z65" s="264"/>
      <c r="AA65" s="264"/>
    </row>
    <row r="66" spans="1:27" ht="31.5">
      <c r="A66" s="744">
        <v>49</v>
      </c>
      <c r="B66" s="771">
        <v>7000018791</v>
      </c>
      <c r="C66" s="771">
        <v>1080</v>
      </c>
      <c r="D66" s="771">
        <v>1770</v>
      </c>
      <c r="E66" s="771">
        <v>100</v>
      </c>
      <c r="F66" s="771" t="s">
        <v>652</v>
      </c>
      <c r="G66" s="771">
        <v>170000551</v>
      </c>
      <c r="H66" s="771">
        <v>998336</v>
      </c>
      <c r="I66" s="561"/>
      <c r="J66" s="560">
        <v>18</v>
      </c>
      <c r="K66" s="559"/>
      <c r="L66" s="773" t="s">
        <v>515</v>
      </c>
      <c r="M66" s="771" t="s">
        <v>300</v>
      </c>
      <c r="N66" s="771">
        <v>2</v>
      </c>
      <c r="O66" s="547"/>
      <c r="P66" s="558" t="str">
        <f t="shared" si="2"/>
        <v>INCLUDED</v>
      </c>
      <c r="Q66" s="516">
        <f t="shared" si="3"/>
        <v>0</v>
      </c>
      <c r="R66" s="452">
        <f t="shared" si="4"/>
        <v>0</v>
      </c>
      <c r="S66" s="640">
        <f>Discount!$J$36</f>
        <v>0</v>
      </c>
      <c r="T66" s="452">
        <f t="shared" si="5"/>
        <v>0</v>
      </c>
      <c r="U66" s="453">
        <f t="shared" si="6"/>
        <v>0</v>
      </c>
      <c r="V66" s="767">
        <f t="shared" si="7"/>
        <v>0</v>
      </c>
      <c r="W66" s="264"/>
      <c r="X66" s="264"/>
      <c r="Y66" s="264"/>
      <c r="Z66" s="264"/>
      <c r="AA66" s="264"/>
    </row>
    <row r="67" spans="1:27" ht="31.5">
      <c r="A67" s="744">
        <v>50</v>
      </c>
      <c r="B67" s="771">
        <v>7000018791</v>
      </c>
      <c r="C67" s="771">
        <v>1210</v>
      </c>
      <c r="D67" s="771">
        <v>1800</v>
      </c>
      <c r="E67" s="771">
        <v>10</v>
      </c>
      <c r="F67" s="771" t="s">
        <v>653</v>
      </c>
      <c r="G67" s="771">
        <v>170000502</v>
      </c>
      <c r="H67" s="771">
        <v>998713</v>
      </c>
      <c r="I67" s="561"/>
      <c r="J67" s="560">
        <v>18</v>
      </c>
      <c r="K67" s="559"/>
      <c r="L67" s="773" t="s">
        <v>516</v>
      </c>
      <c r="M67" s="771" t="s">
        <v>300</v>
      </c>
      <c r="N67" s="771">
        <v>2</v>
      </c>
      <c r="O67" s="547"/>
      <c r="P67" s="558" t="str">
        <f t="shared" si="2"/>
        <v>INCLUDED</v>
      </c>
      <c r="Q67" s="516">
        <f t="shared" si="3"/>
        <v>0</v>
      </c>
      <c r="R67" s="452">
        <f t="shared" si="4"/>
        <v>0</v>
      </c>
      <c r="S67" s="640">
        <f>Discount!$J$36</f>
        <v>0</v>
      </c>
      <c r="T67" s="452">
        <f t="shared" si="5"/>
        <v>0</v>
      </c>
      <c r="U67" s="453">
        <f t="shared" si="6"/>
        <v>0</v>
      </c>
      <c r="V67" s="767">
        <f t="shared" si="7"/>
        <v>0</v>
      </c>
      <c r="W67" s="264"/>
      <c r="X67" s="264"/>
      <c r="Y67" s="264"/>
      <c r="Z67" s="264"/>
      <c r="AA67" s="264"/>
    </row>
    <row r="68" spans="1:27" ht="31.5">
      <c r="A68" s="744">
        <v>51</v>
      </c>
      <c r="B68" s="771">
        <v>7000018791</v>
      </c>
      <c r="C68" s="771">
        <v>1210</v>
      </c>
      <c r="D68" s="771">
        <v>1800</v>
      </c>
      <c r="E68" s="771">
        <v>20</v>
      </c>
      <c r="F68" s="771" t="s">
        <v>653</v>
      </c>
      <c r="G68" s="771">
        <v>170000530</v>
      </c>
      <c r="H68" s="771">
        <v>998734</v>
      </c>
      <c r="I68" s="561"/>
      <c r="J68" s="560">
        <v>18</v>
      </c>
      <c r="K68" s="559"/>
      <c r="L68" s="773" t="s">
        <v>517</v>
      </c>
      <c r="M68" s="771" t="s">
        <v>300</v>
      </c>
      <c r="N68" s="771">
        <v>2</v>
      </c>
      <c r="O68" s="547"/>
      <c r="P68" s="558" t="str">
        <f t="shared" si="2"/>
        <v>INCLUDED</v>
      </c>
      <c r="Q68" s="516">
        <f t="shared" si="3"/>
        <v>0</v>
      </c>
      <c r="R68" s="452">
        <f t="shared" si="4"/>
        <v>0</v>
      </c>
      <c r="S68" s="640">
        <f>Discount!$J$36</f>
        <v>0</v>
      </c>
      <c r="T68" s="452">
        <f t="shared" si="5"/>
        <v>0</v>
      </c>
      <c r="U68" s="453">
        <f t="shared" si="6"/>
        <v>0</v>
      </c>
      <c r="V68" s="767">
        <f t="shared" si="7"/>
        <v>0</v>
      </c>
      <c r="W68" s="264"/>
      <c r="X68" s="264"/>
      <c r="Y68" s="264"/>
      <c r="Z68" s="264"/>
      <c r="AA68" s="264"/>
    </row>
    <row r="69" spans="1:27" ht="31.5">
      <c r="A69" s="744">
        <v>52</v>
      </c>
      <c r="B69" s="771">
        <v>7000018791</v>
      </c>
      <c r="C69" s="771">
        <v>1210</v>
      </c>
      <c r="D69" s="771">
        <v>1800</v>
      </c>
      <c r="E69" s="771">
        <v>30</v>
      </c>
      <c r="F69" s="771" t="s">
        <v>653</v>
      </c>
      <c r="G69" s="771">
        <v>170000503</v>
      </c>
      <c r="H69" s="771">
        <v>998713</v>
      </c>
      <c r="I69" s="561"/>
      <c r="J69" s="560">
        <v>18</v>
      </c>
      <c r="K69" s="559"/>
      <c r="L69" s="773" t="s">
        <v>518</v>
      </c>
      <c r="M69" s="771" t="s">
        <v>300</v>
      </c>
      <c r="N69" s="771">
        <v>3</v>
      </c>
      <c r="O69" s="547"/>
      <c r="P69" s="558" t="str">
        <f t="shared" si="2"/>
        <v>INCLUDED</v>
      </c>
      <c r="Q69" s="516">
        <f t="shared" si="3"/>
        <v>0</v>
      </c>
      <c r="R69" s="452">
        <f t="shared" si="4"/>
        <v>0</v>
      </c>
      <c r="S69" s="640">
        <f>Discount!$J$36</f>
        <v>0</v>
      </c>
      <c r="T69" s="452">
        <f t="shared" si="5"/>
        <v>0</v>
      </c>
      <c r="U69" s="453">
        <f t="shared" si="6"/>
        <v>0</v>
      </c>
      <c r="V69" s="767">
        <f t="shared" si="7"/>
        <v>0</v>
      </c>
      <c r="W69" s="264"/>
      <c r="X69" s="264"/>
      <c r="Y69" s="264"/>
      <c r="Z69" s="264"/>
      <c r="AA69" s="264"/>
    </row>
    <row r="70" spans="1:27" ht="31.5">
      <c r="A70" s="744">
        <v>53</v>
      </c>
      <c r="B70" s="771">
        <v>7000018791</v>
      </c>
      <c r="C70" s="771">
        <v>1210</v>
      </c>
      <c r="D70" s="771">
        <v>1800</v>
      </c>
      <c r="E70" s="771">
        <v>40</v>
      </c>
      <c r="F70" s="771" t="s">
        <v>653</v>
      </c>
      <c r="G70" s="771">
        <v>170000504</v>
      </c>
      <c r="H70" s="771">
        <v>998713</v>
      </c>
      <c r="I70" s="561"/>
      <c r="J70" s="560">
        <v>18</v>
      </c>
      <c r="K70" s="559"/>
      <c r="L70" s="773" t="s">
        <v>519</v>
      </c>
      <c r="M70" s="771" t="s">
        <v>506</v>
      </c>
      <c r="N70" s="771">
        <v>1</v>
      </c>
      <c r="O70" s="547"/>
      <c r="P70" s="558" t="str">
        <f t="shared" si="2"/>
        <v>INCLUDED</v>
      </c>
      <c r="Q70" s="516">
        <f t="shared" si="3"/>
        <v>0</v>
      </c>
      <c r="R70" s="452">
        <f t="shared" si="4"/>
        <v>0</v>
      </c>
      <c r="S70" s="640">
        <f>Discount!$J$36</f>
        <v>0</v>
      </c>
      <c r="T70" s="452">
        <f t="shared" si="5"/>
        <v>0</v>
      </c>
      <c r="U70" s="453">
        <f t="shared" si="6"/>
        <v>0</v>
      </c>
      <c r="V70" s="767">
        <f t="shared" si="7"/>
        <v>0</v>
      </c>
      <c r="W70" s="264"/>
      <c r="X70" s="264"/>
      <c r="Y70" s="264"/>
      <c r="Z70" s="264"/>
      <c r="AA70" s="264"/>
    </row>
    <row r="71" spans="1:27" ht="31.5">
      <c r="A71" s="744">
        <v>54</v>
      </c>
      <c r="B71" s="771">
        <v>7000018791</v>
      </c>
      <c r="C71" s="771">
        <v>1210</v>
      </c>
      <c r="D71" s="771">
        <v>1800</v>
      </c>
      <c r="E71" s="771">
        <v>50</v>
      </c>
      <c r="F71" s="771" t="s">
        <v>653</v>
      </c>
      <c r="G71" s="771">
        <v>170000501</v>
      </c>
      <c r="H71" s="771">
        <v>998734</v>
      </c>
      <c r="I71" s="561"/>
      <c r="J71" s="560">
        <v>18</v>
      </c>
      <c r="K71" s="559"/>
      <c r="L71" s="773" t="s">
        <v>520</v>
      </c>
      <c r="M71" s="771" t="s">
        <v>506</v>
      </c>
      <c r="N71" s="771">
        <v>1</v>
      </c>
      <c r="O71" s="547"/>
      <c r="P71" s="558" t="str">
        <f t="shared" si="2"/>
        <v>INCLUDED</v>
      </c>
      <c r="Q71" s="516">
        <f t="shared" si="3"/>
        <v>0</v>
      </c>
      <c r="R71" s="452">
        <f t="shared" si="4"/>
        <v>0</v>
      </c>
      <c r="S71" s="640">
        <f>Discount!$J$36</f>
        <v>0</v>
      </c>
      <c r="T71" s="452">
        <f t="shared" si="5"/>
        <v>0</v>
      </c>
      <c r="U71" s="453">
        <f t="shared" si="6"/>
        <v>0</v>
      </c>
      <c r="V71" s="767">
        <f t="shared" si="7"/>
        <v>0</v>
      </c>
      <c r="W71" s="264"/>
      <c r="X71" s="264"/>
      <c r="Y71" s="264"/>
      <c r="Z71" s="264"/>
      <c r="AA71" s="264"/>
    </row>
    <row r="72" spans="1:27" ht="63">
      <c r="A72" s="744">
        <v>55</v>
      </c>
      <c r="B72" s="771">
        <v>7000018791</v>
      </c>
      <c r="C72" s="771">
        <v>1220</v>
      </c>
      <c r="D72" s="771">
        <v>1810</v>
      </c>
      <c r="E72" s="771">
        <v>10</v>
      </c>
      <c r="F72" s="771" t="s">
        <v>507</v>
      </c>
      <c r="G72" s="771">
        <v>100004518</v>
      </c>
      <c r="H72" s="771">
        <v>995433</v>
      </c>
      <c r="I72" s="561"/>
      <c r="J72" s="560">
        <v>18</v>
      </c>
      <c r="K72" s="559"/>
      <c r="L72" s="773" t="s">
        <v>483</v>
      </c>
      <c r="M72" s="771" t="s">
        <v>303</v>
      </c>
      <c r="N72" s="771">
        <v>2307</v>
      </c>
      <c r="O72" s="547"/>
      <c r="P72" s="558" t="str">
        <f t="shared" si="2"/>
        <v>INCLUDED</v>
      </c>
      <c r="Q72" s="516">
        <f t="shared" si="3"/>
        <v>0</v>
      </c>
      <c r="R72" s="452">
        <f t="shared" si="4"/>
        <v>0</v>
      </c>
      <c r="S72" s="640">
        <f>Discount!$J$36</f>
        <v>0</v>
      </c>
      <c r="T72" s="452">
        <f t="shared" si="5"/>
        <v>0</v>
      </c>
      <c r="U72" s="453">
        <f t="shared" si="6"/>
        <v>0</v>
      </c>
      <c r="V72" s="767">
        <f t="shared" si="7"/>
        <v>0</v>
      </c>
      <c r="W72" s="264"/>
      <c r="X72" s="264"/>
      <c r="Y72" s="264"/>
      <c r="Z72" s="264"/>
      <c r="AA72" s="264"/>
    </row>
    <row r="73" spans="1:27">
      <c r="A73" s="744">
        <v>56</v>
      </c>
      <c r="B73" s="771">
        <v>7000018791</v>
      </c>
      <c r="C73" s="771">
        <v>1220</v>
      </c>
      <c r="D73" s="771">
        <v>1810</v>
      </c>
      <c r="E73" s="771">
        <v>20</v>
      </c>
      <c r="F73" s="771" t="s">
        <v>507</v>
      </c>
      <c r="G73" s="771">
        <v>100001325</v>
      </c>
      <c r="H73" s="771">
        <v>995454</v>
      </c>
      <c r="I73" s="561"/>
      <c r="J73" s="560">
        <v>18</v>
      </c>
      <c r="K73" s="559"/>
      <c r="L73" s="773" t="s">
        <v>484</v>
      </c>
      <c r="M73" s="771" t="s">
        <v>303</v>
      </c>
      <c r="N73" s="771">
        <v>148</v>
      </c>
      <c r="O73" s="547"/>
      <c r="P73" s="558" t="str">
        <f t="shared" si="2"/>
        <v>INCLUDED</v>
      </c>
      <c r="Q73" s="516">
        <f t="shared" si="3"/>
        <v>0</v>
      </c>
      <c r="R73" s="452">
        <f t="shared" si="4"/>
        <v>0</v>
      </c>
      <c r="S73" s="640">
        <f>Discount!$J$36</f>
        <v>0</v>
      </c>
      <c r="T73" s="452">
        <f t="shared" si="5"/>
        <v>0</v>
      </c>
      <c r="U73" s="453">
        <f t="shared" si="6"/>
        <v>0</v>
      </c>
      <c r="V73" s="767">
        <f t="shared" si="7"/>
        <v>0</v>
      </c>
      <c r="W73" s="264"/>
      <c r="X73" s="264"/>
      <c r="Y73" s="264"/>
      <c r="Z73" s="264"/>
      <c r="AA73" s="264"/>
    </row>
    <row r="74" spans="1:27">
      <c r="A74" s="744">
        <v>57</v>
      </c>
      <c r="B74" s="771">
        <v>7000018791</v>
      </c>
      <c r="C74" s="771">
        <v>1220</v>
      </c>
      <c r="D74" s="771">
        <v>1810</v>
      </c>
      <c r="E74" s="771">
        <v>30</v>
      </c>
      <c r="F74" s="771" t="s">
        <v>507</v>
      </c>
      <c r="G74" s="771">
        <v>100001326</v>
      </c>
      <c r="H74" s="771">
        <v>995454</v>
      </c>
      <c r="I74" s="561"/>
      <c r="J74" s="560">
        <v>18</v>
      </c>
      <c r="K74" s="559"/>
      <c r="L74" s="773" t="s">
        <v>485</v>
      </c>
      <c r="M74" s="771" t="s">
        <v>303</v>
      </c>
      <c r="N74" s="771">
        <v>40</v>
      </c>
      <c r="O74" s="547"/>
      <c r="P74" s="558" t="str">
        <f t="shared" si="2"/>
        <v>INCLUDED</v>
      </c>
      <c r="Q74" s="516">
        <f t="shared" si="3"/>
        <v>0</v>
      </c>
      <c r="R74" s="452">
        <f t="shared" si="4"/>
        <v>0</v>
      </c>
      <c r="S74" s="640">
        <f>Discount!$J$36</f>
        <v>0</v>
      </c>
      <c r="T74" s="452">
        <f t="shared" si="5"/>
        <v>0</v>
      </c>
      <c r="U74" s="453">
        <f t="shared" si="6"/>
        <v>0</v>
      </c>
      <c r="V74" s="767">
        <f t="shared" si="7"/>
        <v>0</v>
      </c>
      <c r="W74" s="264"/>
      <c r="X74" s="264"/>
      <c r="Y74" s="264"/>
      <c r="Z74" s="264"/>
      <c r="AA74" s="264"/>
    </row>
    <row r="75" spans="1:27" ht="47.25">
      <c r="A75" s="744">
        <v>58</v>
      </c>
      <c r="B75" s="771">
        <v>7000018791</v>
      </c>
      <c r="C75" s="771">
        <v>1220</v>
      </c>
      <c r="D75" s="771">
        <v>1810</v>
      </c>
      <c r="E75" s="771">
        <v>40</v>
      </c>
      <c r="F75" s="771" t="s">
        <v>507</v>
      </c>
      <c r="G75" s="771">
        <v>100001327</v>
      </c>
      <c r="H75" s="771">
        <v>995454</v>
      </c>
      <c r="I75" s="561"/>
      <c r="J75" s="560">
        <v>18</v>
      </c>
      <c r="K75" s="559"/>
      <c r="L75" s="773" t="s">
        <v>486</v>
      </c>
      <c r="M75" s="771" t="s">
        <v>303</v>
      </c>
      <c r="N75" s="771">
        <v>796</v>
      </c>
      <c r="O75" s="547"/>
      <c r="P75" s="558" t="str">
        <f t="shared" si="2"/>
        <v>INCLUDED</v>
      </c>
      <c r="Q75" s="516">
        <f t="shared" si="3"/>
        <v>0</v>
      </c>
      <c r="R75" s="452">
        <f t="shared" si="4"/>
        <v>0</v>
      </c>
      <c r="S75" s="640">
        <f>Discount!$J$36</f>
        <v>0</v>
      </c>
      <c r="T75" s="452">
        <f t="shared" si="5"/>
        <v>0</v>
      </c>
      <c r="U75" s="453">
        <f t="shared" si="6"/>
        <v>0</v>
      </c>
      <c r="V75" s="767">
        <f t="shared" si="7"/>
        <v>0</v>
      </c>
      <c r="W75" s="264"/>
      <c r="X75" s="264"/>
      <c r="Y75" s="264"/>
      <c r="Z75" s="264"/>
      <c r="AA75" s="264"/>
    </row>
    <row r="76" spans="1:27">
      <c r="A76" s="744">
        <v>59</v>
      </c>
      <c r="B76" s="771">
        <v>7000018791</v>
      </c>
      <c r="C76" s="771">
        <v>1220</v>
      </c>
      <c r="D76" s="771">
        <v>1810</v>
      </c>
      <c r="E76" s="771">
        <v>50</v>
      </c>
      <c r="F76" s="771" t="s">
        <v>507</v>
      </c>
      <c r="G76" s="771">
        <v>100001329</v>
      </c>
      <c r="H76" s="771">
        <v>995454</v>
      </c>
      <c r="I76" s="561"/>
      <c r="J76" s="560">
        <v>18</v>
      </c>
      <c r="K76" s="559"/>
      <c r="L76" s="773" t="s">
        <v>487</v>
      </c>
      <c r="M76" s="771" t="s">
        <v>299</v>
      </c>
      <c r="N76" s="771">
        <v>56</v>
      </c>
      <c r="O76" s="547"/>
      <c r="P76" s="558" t="str">
        <f t="shared" si="2"/>
        <v>INCLUDED</v>
      </c>
      <c r="Q76" s="516">
        <f t="shared" si="3"/>
        <v>0</v>
      </c>
      <c r="R76" s="452">
        <f t="shared" si="4"/>
        <v>0</v>
      </c>
      <c r="S76" s="640">
        <f>Discount!$J$36</f>
        <v>0</v>
      </c>
      <c r="T76" s="452">
        <f t="shared" si="5"/>
        <v>0</v>
      </c>
      <c r="U76" s="453">
        <f t="shared" si="6"/>
        <v>0</v>
      </c>
      <c r="V76" s="767">
        <f t="shared" si="7"/>
        <v>0</v>
      </c>
      <c r="W76" s="264"/>
      <c r="X76" s="264"/>
      <c r="Y76" s="264"/>
      <c r="Z76" s="264"/>
      <c r="AA76" s="264"/>
    </row>
    <row r="77" spans="1:27" ht="47.25">
      <c r="A77" s="744">
        <v>60</v>
      </c>
      <c r="B77" s="771">
        <v>7000018791</v>
      </c>
      <c r="C77" s="771">
        <v>1220</v>
      </c>
      <c r="D77" s="771">
        <v>1810</v>
      </c>
      <c r="E77" s="771">
        <v>60</v>
      </c>
      <c r="F77" s="771" t="s">
        <v>507</v>
      </c>
      <c r="G77" s="771">
        <v>100001331</v>
      </c>
      <c r="H77" s="771">
        <v>995455</v>
      </c>
      <c r="I77" s="561"/>
      <c r="J77" s="560">
        <v>18</v>
      </c>
      <c r="K77" s="559"/>
      <c r="L77" s="773" t="s">
        <v>488</v>
      </c>
      <c r="M77" s="771" t="s">
        <v>299</v>
      </c>
      <c r="N77" s="771">
        <v>8</v>
      </c>
      <c r="O77" s="547"/>
      <c r="P77" s="558" t="str">
        <f t="shared" si="2"/>
        <v>INCLUDED</v>
      </c>
      <c r="Q77" s="516">
        <f t="shared" si="3"/>
        <v>0</v>
      </c>
      <c r="R77" s="452">
        <f t="shared" si="4"/>
        <v>0</v>
      </c>
      <c r="S77" s="640">
        <f>Discount!$J$36</f>
        <v>0</v>
      </c>
      <c r="T77" s="452">
        <f t="shared" si="5"/>
        <v>0</v>
      </c>
      <c r="U77" s="453">
        <f t="shared" si="6"/>
        <v>0</v>
      </c>
      <c r="V77" s="767">
        <f t="shared" si="7"/>
        <v>0</v>
      </c>
      <c r="W77" s="264"/>
      <c r="X77" s="264"/>
      <c r="Y77" s="264"/>
      <c r="Z77" s="264"/>
      <c r="AA77" s="264"/>
    </row>
    <row r="78" spans="1:27" ht="47.25">
      <c r="A78" s="744">
        <v>61</v>
      </c>
      <c r="B78" s="771">
        <v>7000018791</v>
      </c>
      <c r="C78" s="771">
        <v>1220</v>
      </c>
      <c r="D78" s="771">
        <v>1810</v>
      </c>
      <c r="E78" s="771">
        <v>70</v>
      </c>
      <c r="F78" s="771" t="s">
        <v>507</v>
      </c>
      <c r="G78" s="771">
        <v>100003768</v>
      </c>
      <c r="H78" s="771">
        <v>995451</v>
      </c>
      <c r="I78" s="561"/>
      <c r="J78" s="560">
        <v>18</v>
      </c>
      <c r="K78" s="559"/>
      <c r="L78" s="773" t="s">
        <v>673</v>
      </c>
      <c r="M78" s="771" t="s">
        <v>303</v>
      </c>
      <c r="N78" s="771">
        <v>44</v>
      </c>
      <c r="O78" s="547"/>
      <c r="P78" s="558" t="str">
        <f t="shared" si="2"/>
        <v>INCLUDED</v>
      </c>
      <c r="Q78" s="516">
        <f t="shared" si="3"/>
        <v>0</v>
      </c>
      <c r="R78" s="452">
        <f t="shared" si="4"/>
        <v>0</v>
      </c>
      <c r="S78" s="640">
        <f>Discount!$J$36</f>
        <v>0</v>
      </c>
      <c r="T78" s="452">
        <f t="shared" si="5"/>
        <v>0</v>
      </c>
      <c r="U78" s="453">
        <f t="shared" si="6"/>
        <v>0</v>
      </c>
      <c r="V78" s="767">
        <f t="shared" si="7"/>
        <v>0</v>
      </c>
      <c r="W78" s="264"/>
      <c r="X78" s="264"/>
      <c r="Y78" s="264"/>
      <c r="Z78" s="264"/>
      <c r="AA78" s="264"/>
    </row>
    <row r="79" spans="1:27" ht="126">
      <c r="A79" s="744">
        <v>62</v>
      </c>
      <c r="B79" s="771">
        <v>7000018791</v>
      </c>
      <c r="C79" s="771">
        <v>1220</v>
      </c>
      <c r="D79" s="771">
        <v>1810</v>
      </c>
      <c r="E79" s="771">
        <v>80</v>
      </c>
      <c r="F79" s="771" t="s">
        <v>507</v>
      </c>
      <c r="G79" s="771">
        <v>100016608</v>
      </c>
      <c r="H79" s="771">
        <v>995451</v>
      </c>
      <c r="I79" s="561"/>
      <c r="J79" s="560">
        <v>18</v>
      </c>
      <c r="K79" s="559"/>
      <c r="L79" s="773" t="s">
        <v>674</v>
      </c>
      <c r="M79" s="771" t="s">
        <v>476</v>
      </c>
      <c r="N79" s="771">
        <v>152</v>
      </c>
      <c r="O79" s="547"/>
      <c r="P79" s="558" t="str">
        <f t="shared" si="2"/>
        <v>INCLUDED</v>
      </c>
      <c r="Q79" s="516">
        <f t="shared" si="3"/>
        <v>0</v>
      </c>
      <c r="R79" s="452">
        <f t="shared" si="4"/>
        <v>0</v>
      </c>
      <c r="S79" s="640">
        <f>Discount!$J$36</f>
        <v>0</v>
      </c>
      <c r="T79" s="452">
        <f t="shared" si="5"/>
        <v>0</v>
      </c>
      <c r="U79" s="453">
        <f t="shared" si="6"/>
        <v>0</v>
      </c>
      <c r="V79" s="767">
        <f t="shared" si="7"/>
        <v>0</v>
      </c>
      <c r="W79" s="264"/>
      <c r="X79" s="264"/>
      <c r="Y79" s="264"/>
      <c r="Z79" s="264"/>
      <c r="AA79" s="264"/>
    </row>
    <row r="80" spans="1:27" ht="94.5">
      <c r="A80" s="744">
        <v>63</v>
      </c>
      <c r="B80" s="771">
        <v>7000018791</v>
      </c>
      <c r="C80" s="771">
        <v>1220</v>
      </c>
      <c r="D80" s="771">
        <v>1810</v>
      </c>
      <c r="E80" s="771">
        <v>90</v>
      </c>
      <c r="F80" s="771" t="s">
        <v>507</v>
      </c>
      <c r="G80" s="771">
        <v>100015227</v>
      </c>
      <c r="H80" s="771">
        <v>995451</v>
      </c>
      <c r="I80" s="561"/>
      <c r="J80" s="560">
        <v>18</v>
      </c>
      <c r="K80" s="559"/>
      <c r="L80" s="773" t="s">
        <v>675</v>
      </c>
      <c r="M80" s="771" t="s">
        <v>300</v>
      </c>
      <c r="N80" s="771">
        <v>2</v>
      </c>
      <c r="O80" s="547"/>
      <c r="P80" s="558" t="str">
        <f t="shared" si="2"/>
        <v>INCLUDED</v>
      </c>
      <c r="Q80" s="516">
        <f t="shared" si="3"/>
        <v>0</v>
      </c>
      <c r="R80" s="452">
        <f t="shared" si="4"/>
        <v>0</v>
      </c>
      <c r="S80" s="640">
        <f>Discount!$J$36</f>
        <v>0</v>
      </c>
      <c r="T80" s="452">
        <f t="shared" si="5"/>
        <v>0</v>
      </c>
      <c r="U80" s="453">
        <f t="shared" si="6"/>
        <v>0</v>
      </c>
      <c r="V80" s="767">
        <f t="shared" si="7"/>
        <v>0</v>
      </c>
      <c r="W80" s="264"/>
      <c r="X80" s="264"/>
      <c r="Y80" s="264"/>
      <c r="Z80" s="264"/>
      <c r="AA80" s="264"/>
    </row>
    <row r="81" spans="1:27" ht="47.25">
      <c r="A81" s="744">
        <v>64</v>
      </c>
      <c r="B81" s="771">
        <v>7000018791</v>
      </c>
      <c r="C81" s="771">
        <v>1220</v>
      </c>
      <c r="D81" s="771">
        <v>1810</v>
      </c>
      <c r="E81" s="771">
        <v>100</v>
      </c>
      <c r="F81" s="771" t="s">
        <v>507</v>
      </c>
      <c r="G81" s="771">
        <v>100015229</v>
      </c>
      <c r="H81" s="771">
        <v>995451</v>
      </c>
      <c r="I81" s="561"/>
      <c r="J81" s="560">
        <v>18</v>
      </c>
      <c r="K81" s="559"/>
      <c r="L81" s="773" t="s">
        <v>676</v>
      </c>
      <c r="M81" s="771" t="s">
        <v>300</v>
      </c>
      <c r="N81" s="771">
        <v>2</v>
      </c>
      <c r="O81" s="547"/>
      <c r="P81" s="558" t="str">
        <f t="shared" si="2"/>
        <v>INCLUDED</v>
      </c>
      <c r="Q81" s="516">
        <f t="shared" si="3"/>
        <v>0</v>
      </c>
      <c r="R81" s="452">
        <f t="shared" si="4"/>
        <v>0</v>
      </c>
      <c r="S81" s="640">
        <f>Discount!$J$36</f>
        <v>0</v>
      </c>
      <c r="T81" s="452">
        <f t="shared" si="5"/>
        <v>0</v>
      </c>
      <c r="U81" s="453">
        <f t="shared" si="6"/>
        <v>0</v>
      </c>
      <c r="V81" s="767">
        <f t="shared" si="7"/>
        <v>0</v>
      </c>
      <c r="W81" s="264"/>
      <c r="X81" s="264"/>
      <c r="Y81" s="264"/>
      <c r="Z81" s="264"/>
      <c r="AA81" s="264"/>
    </row>
    <row r="82" spans="1:27" ht="47.25">
      <c r="A82" s="744">
        <v>65</v>
      </c>
      <c r="B82" s="771">
        <v>7000018791</v>
      </c>
      <c r="C82" s="771">
        <v>1220</v>
      </c>
      <c r="D82" s="771">
        <v>1810</v>
      </c>
      <c r="E82" s="771">
        <v>110</v>
      </c>
      <c r="F82" s="771" t="s">
        <v>507</v>
      </c>
      <c r="G82" s="771">
        <v>100015231</v>
      </c>
      <c r="H82" s="771">
        <v>995451</v>
      </c>
      <c r="I82" s="561"/>
      <c r="J82" s="560">
        <v>18</v>
      </c>
      <c r="K82" s="559"/>
      <c r="L82" s="773" t="s">
        <v>677</v>
      </c>
      <c r="M82" s="771" t="s">
        <v>300</v>
      </c>
      <c r="N82" s="771">
        <v>2</v>
      </c>
      <c r="O82" s="547"/>
      <c r="P82" s="558" t="str">
        <f t="shared" si="2"/>
        <v>INCLUDED</v>
      </c>
      <c r="Q82" s="516">
        <f t="shared" si="3"/>
        <v>0</v>
      </c>
      <c r="R82" s="452">
        <f t="shared" si="4"/>
        <v>0</v>
      </c>
      <c r="S82" s="640">
        <f>Discount!$J$36</f>
        <v>0</v>
      </c>
      <c r="T82" s="452">
        <f t="shared" si="5"/>
        <v>0</v>
      </c>
      <c r="U82" s="453">
        <f t="shared" si="6"/>
        <v>0</v>
      </c>
      <c r="V82" s="767">
        <f t="shared" si="7"/>
        <v>0</v>
      </c>
      <c r="W82" s="264"/>
      <c r="X82" s="264"/>
      <c r="Y82" s="264"/>
      <c r="Z82" s="264"/>
      <c r="AA82" s="264"/>
    </row>
    <row r="83" spans="1:27" ht="126">
      <c r="A83" s="744">
        <v>66</v>
      </c>
      <c r="B83" s="771">
        <v>7000018791</v>
      </c>
      <c r="C83" s="771">
        <v>1220</v>
      </c>
      <c r="D83" s="771">
        <v>1810</v>
      </c>
      <c r="E83" s="771">
        <v>120</v>
      </c>
      <c r="F83" s="771" t="s">
        <v>507</v>
      </c>
      <c r="G83" s="771">
        <v>120002789</v>
      </c>
      <c r="H83" s="771">
        <v>995451</v>
      </c>
      <c r="I83" s="561"/>
      <c r="J83" s="560">
        <v>18</v>
      </c>
      <c r="K83" s="559"/>
      <c r="L83" s="773" t="s">
        <v>678</v>
      </c>
      <c r="M83" s="771" t="s">
        <v>300</v>
      </c>
      <c r="N83" s="771">
        <v>16</v>
      </c>
      <c r="O83" s="547"/>
      <c r="P83" s="558" t="str">
        <f t="shared" ref="P83:P103" si="8">IF(O83=0, "INCLUDED", IF(ISERROR(N83*O83), O83, N83*O83))</f>
        <v>INCLUDED</v>
      </c>
      <c r="Q83" s="516">
        <f t="shared" ref="Q83:Q103" si="9">IF(P83="Included",0,P83)</f>
        <v>0</v>
      </c>
      <c r="R83" s="452">
        <f t="shared" ref="R83:R103" si="10">IF( K83="",J83*(IF(P83="Included",0,P83))/100,K83*(IF(P83="Included",0,P83)))</f>
        <v>0</v>
      </c>
      <c r="S83" s="640">
        <f>Discount!$J$36</f>
        <v>0</v>
      </c>
      <c r="T83" s="452">
        <f t="shared" ref="T83:T103" si="11">S83*Q83</f>
        <v>0</v>
      </c>
      <c r="U83" s="453">
        <f t="shared" ref="U83:U103" si="12">IF(K83="",J83*T83/100,K83*T83)</f>
        <v>0</v>
      </c>
      <c r="V83" s="767">
        <f t="shared" ref="V83:V103" si="13">O83*N83</f>
        <v>0</v>
      </c>
      <c r="W83" s="264"/>
      <c r="X83" s="264"/>
      <c r="Y83" s="264"/>
      <c r="Z83" s="264"/>
      <c r="AA83" s="264"/>
    </row>
    <row r="84" spans="1:27">
      <c r="A84" s="744">
        <v>67</v>
      </c>
      <c r="B84" s="771">
        <v>7000018791</v>
      </c>
      <c r="C84" s="771">
        <v>1220</v>
      </c>
      <c r="D84" s="771">
        <v>1810</v>
      </c>
      <c r="E84" s="771">
        <v>130</v>
      </c>
      <c r="F84" s="771" t="s">
        <v>507</v>
      </c>
      <c r="G84" s="771">
        <v>100001714</v>
      </c>
      <c r="H84" s="771">
        <v>995428</v>
      </c>
      <c r="I84" s="561"/>
      <c r="J84" s="560">
        <v>18</v>
      </c>
      <c r="K84" s="559"/>
      <c r="L84" s="773" t="s">
        <v>489</v>
      </c>
      <c r="M84" s="771" t="s">
        <v>477</v>
      </c>
      <c r="N84" s="771">
        <v>4992</v>
      </c>
      <c r="O84" s="547"/>
      <c r="P84" s="558" t="str">
        <f t="shared" si="8"/>
        <v>INCLUDED</v>
      </c>
      <c r="Q84" s="516">
        <f t="shared" si="9"/>
        <v>0</v>
      </c>
      <c r="R84" s="452">
        <f t="shared" si="10"/>
        <v>0</v>
      </c>
      <c r="S84" s="640">
        <f>Discount!$J$36</f>
        <v>0</v>
      </c>
      <c r="T84" s="452">
        <f t="shared" si="11"/>
        <v>0</v>
      </c>
      <c r="U84" s="453">
        <f t="shared" si="12"/>
        <v>0</v>
      </c>
      <c r="V84" s="767">
        <f t="shared" si="13"/>
        <v>0</v>
      </c>
      <c r="W84" s="264"/>
      <c r="X84" s="264"/>
      <c r="Y84" s="264"/>
      <c r="Z84" s="264"/>
      <c r="AA84" s="264"/>
    </row>
    <row r="85" spans="1:27">
      <c r="A85" s="744">
        <v>68</v>
      </c>
      <c r="B85" s="771">
        <v>7000018791</v>
      </c>
      <c r="C85" s="771">
        <v>1220</v>
      </c>
      <c r="D85" s="771">
        <v>1810</v>
      </c>
      <c r="E85" s="771">
        <v>140</v>
      </c>
      <c r="F85" s="771" t="s">
        <v>507</v>
      </c>
      <c r="G85" s="771">
        <v>100001713</v>
      </c>
      <c r="H85" s="771">
        <v>995424</v>
      </c>
      <c r="I85" s="561"/>
      <c r="J85" s="560">
        <v>18</v>
      </c>
      <c r="K85" s="559"/>
      <c r="L85" s="773" t="s">
        <v>490</v>
      </c>
      <c r="M85" s="771" t="s">
        <v>477</v>
      </c>
      <c r="N85" s="771">
        <v>4922</v>
      </c>
      <c r="O85" s="547"/>
      <c r="P85" s="558" t="str">
        <f t="shared" si="8"/>
        <v>INCLUDED</v>
      </c>
      <c r="Q85" s="516">
        <f t="shared" si="9"/>
        <v>0</v>
      </c>
      <c r="R85" s="452">
        <f t="shared" si="10"/>
        <v>0</v>
      </c>
      <c r="S85" s="640">
        <f>Discount!$J$36</f>
        <v>0</v>
      </c>
      <c r="T85" s="452">
        <f t="shared" si="11"/>
        <v>0</v>
      </c>
      <c r="U85" s="453">
        <f t="shared" si="12"/>
        <v>0</v>
      </c>
      <c r="V85" s="767">
        <f t="shared" si="13"/>
        <v>0</v>
      </c>
      <c r="W85" s="264"/>
      <c r="X85" s="264"/>
      <c r="Y85" s="264"/>
      <c r="Z85" s="264"/>
      <c r="AA85" s="264"/>
    </row>
    <row r="86" spans="1:27" ht="31.5">
      <c r="A86" s="744">
        <v>69</v>
      </c>
      <c r="B86" s="771">
        <v>7000018791</v>
      </c>
      <c r="C86" s="771">
        <v>1220</v>
      </c>
      <c r="D86" s="771">
        <v>1810</v>
      </c>
      <c r="E86" s="771">
        <v>150</v>
      </c>
      <c r="F86" s="771" t="s">
        <v>507</v>
      </c>
      <c r="G86" s="771">
        <v>100001328</v>
      </c>
      <c r="H86" s="771">
        <v>995454</v>
      </c>
      <c r="I86" s="561"/>
      <c r="J86" s="560">
        <v>18</v>
      </c>
      <c r="K86" s="559"/>
      <c r="L86" s="773" t="s">
        <v>497</v>
      </c>
      <c r="M86" s="771" t="s">
        <v>303</v>
      </c>
      <c r="N86" s="771">
        <v>374</v>
      </c>
      <c r="O86" s="547"/>
      <c r="P86" s="558" t="str">
        <f t="shared" si="8"/>
        <v>INCLUDED</v>
      </c>
      <c r="Q86" s="516">
        <f t="shared" si="9"/>
        <v>0</v>
      </c>
      <c r="R86" s="452">
        <f t="shared" si="10"/>
        <v>0</v>
      </c>
      <c r="S86" s="640">
        <f>Discount!$J$36</f>
        <v>0</v>
      </c>
      <c r="T86" s="452">
        <f t="shared" si="11"/>
        <v>0</v>
      </c>
      <c r="U86" s="453">
        <f t="shared" si="12"/>
        <v>0</v>
      </c>
      <c r="V86" s="767">
        <f t="shared" si="13"/>
        <v>0</v>
      </c>
      <c r="W86" s="264"/>
      <c r="X86" s="264"/>
      <c r="Y86" s="264"/>
      <c r="Z86" s="264"/>
      <c r="AA86" s="264"/>
    </row>
    <row r="87" spans="1:27" ht="47.25">
      <c r="A87" s="744">
        <v>70</v>
      </c>
      <c r="B87" s="771">
        <v>7000018791</v>
      </c>
      <c r="C87" s="771">
        <v>1220</v>
      </c>
      <c r="D87" s="771">
        <v>1810</v>
      </c>
      <c r="E87" s="771">
        <v>160</v>
      </c>
      <c r="F87" s="771" t="s">
        <v>507</v>
      </c>
      <c r="G87" s="771">
        <v>100004506</v>
      </c>
      <c r="H87" s="771">
        <v>995477</v>
      </c>
      <c r="I87" s="561"/>
      <c r="J87" s="560">
        <v>18</v>
      </c>
      <c r="K87" s="559"/>
      <c r="L87" s="773" t="s">
        <v>534</v>
      </c>
      <c r="M87" s="771" t="s">
        <v>476</v>
      </c>
      <c r="N87" s="771">
        <v>200</v>
      </c>
      <c r="O87" s="547"/>
      <c r="P87" s="558" t="str">
        <f t="shared" si="8"/>
        <v>INCLUDED</v>
      </c>
      <c r="Q87" s="516">
        <f t="shared" si="9"/>
        <v>0</v>
      </c>
      <c r="R87" s="452">
        <f t="shared" si="10"/>
        <v>0</v>
      </c>
      <c r="S87" s="640">
        <f>Discount!$J$36</f>
        <v>0</v>
      </c>
      <c r="T87" s="452">
        <f t="shared" si="11"/>
        <v>0</v>
      </c>
      <c r="U87" s="453">
        <f t="shared" si="12"/>
        <v>0</v>
      </c>
      <c r="V87" s="767">
        <f t="shared" si="13"/>
        <v>0</v>
      </c>
      <c r="W87" s="264"/>
      <c r="X87" s="264"/>
      <c r="Y87" s="264"/>
      <c r="Z87" s="264"/>
      <c r="AA87" s="264"/>
    </row>
    <row r="88" spans="1:27">
      <c r="A88" s="744">
        <v>71</v>
      </c>
      <c r="B88" s="771">
        <v>7000018791</v>
      </c>
      <c r="C88" s="771">
        <v>1220</v>
      </c>
      <c r="D88" s="771">
        <v>1810</v>
      </c>
      <c r="E88" s="771">
        <v>170</v>
      </c>
      <c r="F88" s="771" t="s">
        <v>507</v>
      </c>
      <c r="G88" s="771">
        <v>100001392</v>
      </c>
      <c r="H88" s="771">
        <v>995455</v>
      </c>
      <c r="I88" s="561"/>
      <c r="J88" s="560">
        <v>18</v>
      </c>
      <c r="K88" s="559"/>
      <c r="L88" s="773" t="s">
        <v>538</v>
      </c>
      <c r="M88" s="771" t="s">
        <v>300</v>
      </c>
      <c r="N88" s="771">
        <v>1</v>
      </c>
      <c r="O88" s="547"/>
      <c r="P88" s="558" t="str">
        <f t="shared" si="8"/>
        <v>INCLUDED</v>
      </c>
      <c r="Q88" s="516">
        <f t="shared" si="9"/>
        <v>0</v>
      </c>
      <c r="R88" s="452">
        <f t="shared" si="10"/>
        <v>0</v>
      </c>
      <c r="S88" s="640">
        <f>Discount!$J$36</f>
        <v>0</v>
      </c>
      <c r="T88" s="452">
        <f t="shared" si="11"/>
        <v>0</v>
      </c>
      <c r="U88" s="453">
        <f t="shared" si="12"/>
        <v>0</v>
      </c>
      <c r="V88" s="767">
        <f t="shared" si="13"/>
        <v>0</v>
      </c>
      <c r="W88" s="264"/>
      <c r="X88" s="264"/>
      <c r="Y88" s="264"/>
      <c r="Z88" s="264"/>
      <c r="AA88" s="264"/>
    </row>
    <row r="89" spans="1:27" ht="47.25">
      <c r="A89" s="744">
        <v>72</v>
      </c>
      <c r="B89" s="771">
        <v>7000018791</v>
      </c>
      <c r="C89" s="771">
        <v>1220</v>
      </c>
      <c r="D89" s="771">
        <v>1810</v>
      </c>
      <c r="E89" s="771">
        <v>180</v>
      </c>
      <c r="F89" s="771" t="s">
        <v>507</v>
      </c>
      <c r="G89" s="771">
        <v>100001735</v>
      </c>
      <c r="H89" s="771">
        <v>995462</v>
      </c>
      <c r="I89" s="561"/>
      <c r="J89" s="560">
        <v>18</v>
      </c>
      <c r="K89" s="559"/>
      <c r="L89" s="773" t="s">
        <v>491</v>
      </c>
      <c r="M89" s="771" t="s">
        <v>476</v>
      </c>
      <c r="N89" s="771">
        <v>20</v>
      </c>
      <c r="O89" s="547"/>
      <c r="P89" s="558" t="str">
        <f t="shared" si="8"/>
        <v>INCLUDED</v>
      </c>
      <c r="Q89" s="516">
        <f t="shared" si="9"/>
        <v>0</v>
      </c>
      <c r="R89" s="452">
        <f t="shared" si="10"/>
        <v>0</v>
      </c>
      <c r="S89" s="640">
        <f>Discount!$J$36</f>
        <v>0</v>
      </c>
      <c r="T89" s="452">
        <f t="shared" si="11"/>
        <v>0</v>
      </c>
      <c r="U89" s="453">
        <f t="shared" si="12"/>
        <v>0</v>
      </c>
      <c r="V89" s="767">
        <f t="shared" si="13"/>
        <v>0</v>
      </c>
      <c r="W89" s="264"/>
      <c r="X89" s="264"/>
      <c r="Y89" s="264"/>
      <c r="Z89" s="264"/>
      <c r="AA89" s="264"/>
    </row>
    <row r="90" spans="1:27" ht="47.25">
      <c r="A90" s="744">
        <v>73</v>
      </c>
      <c r="B90" s="771">
        <v>7000018791</v>
      </c>
      <c r="C90" s="771">
        <v>1220</v>
      </c>
      <c r="D90" s="771">
        <v>1810</v>
      </c>
      <c r="E90" s="771">
        <v>190</v>
      </c>
      <c r="F90" s="771" t="s">
        <v>507</v>
      </c>
      <c r="G90" s="771">
        <v>100001736</v>
      </c>
      <c r="H90" s="771">
        <v>995462</v>
      </c>
      <c r="I90" s="561"/>
      <c r="J90" s="560">
        <v>18</v>
      </c>
      <c r="K90" s="559"/>
      <c r="L90" s="773" t="s">
        <v>539</v>
      </c>
      <c r="M90" s="771" t="s">
        <v>476</v>
      </c>
      <c r="N90" s="771">
        <v>40</v>
      </c>
      <c r="O90" s="547"/>
      <c r="P90" s="558" t="str">
        <f t="shared" si="8"/>
        <v>INCLUDED</v>
      </c>
      <c r="Q90" s="516">
        <f t="shared" si="9"/>
        <v>0</v>
      </c>
      <c r="R90" s="452">
        <f t="shared" si="10"/>
        <v>0</v>
      </c>
      <c r="S90" s="640">
        <f>Discount!$J$36</f>
        <v>0</v>
      </c>
      <c r="T90" s="452">
        <f t="shared" si="11"/>
        <v>0</v>
      </c>
      <c r="U90" s="453">
        <f t="shared" si="12"/>
        <v>0</v>
      </c>
      <c r="V90" s="767">
        <f t="shared" si="13"/>
        <v>0</v>
      </c>
      <c r="W90" s="264"/>
      <c r="X90" s="264"/>
      <c r="Y90" s="264"/>
      <c r="Z90" s="264"/>
      <c r="AA90" s="264"/>
    </row>
    <row r="91" spans="1:27" ht="47.25">
      <c r="A91" s="744">
        <v>74</v>
      </c>
      <c r="B91" s="771">
        <v>7000018791</v>
      </c>
      <c r="C91" s="771">
        <v>1220</v>
      </c>
      <c r="D91" s="771">
        <v>1810</v>
      </c>
      <c r="E91" s="771">
        <v>200</v>
      </c>
      <c r="F91" s="771" t="s">
        <v>507</v>
      </c>
      <c r="G91" s="771">
        <v>100001737</v>
      </c>
      <c r="H91" s="771">
        <v>995462</v>
      </c>
      <c r="I91" s="561"/>
      <c r="J91" s="560">
        <v>18</v>
      </c>
      <c r="K91" s="559"/>
      <c r="L91" s="773" t="s">
        <v>492</v>
      </c>
      <c r="M91" s="771" t="s">
        <v>476</v>
      </c>
      <c r="N91" s="771">
        <v>20</v>
      </c>
      <c r="O91" s="547"/>
      <c r="P91" s="558" t="str">
        <f t="shared" si="8"/>
        <v>INCLUDED</v>
      </c>
      <c r="Q91" s="516">
        <f t="shared" si="9"/>
        <v>0</v>
      </c>
      <c r="R91" s="452">
        <f t="shared" si="10"/>
        <v>0</v>
      </c>
      <c r="S91" s="640">
        <f>Discount!$J$36</f>
        <v>0</v>
      </c>
      <c r="T91" s="452">
        <f t="shared" si="11"/>
        <v>0</v>
      </c>
      <c r="U91" s="453">
        <f t="shared" si="12"/>
        <v>0</v>
      </c>
      <c r="V91" s="767">
        <f t="shared" si="13"/>
        <v>0</v>
      </c>
      <c r="W91" s="264"/>
      <c r="X91" s="264"/>
      <c r="Y91" s="264"/>
      <c r="Z91" s="264"/>
      <c r="AA91" s="264"/>
    </row>
    <row r="92" spans="1:27" ht="47.25">
      <c r="A92" s="744">
        <v>75</v>
      </c>
      <c r="B92" s="771">
        <v>7000018791</v>
      </c>
      <c r="C92" s="771">
        <v>1220</v>
      </c>
      <c r="D92" s="771">
        <v>1810</v>
      </c>
      <c r="E92" s="771">
        <v>210</v>
      </c>
      <c r="F92" s="771" t="s">
        <v>507</v>
      </c>
      <c r="G92" s="771">
        <v>100015791</v>
      </c>
      <c r="H92" s="771">
        <v>995454</v>
      </c>
      <c r="I92" s="561"/>
      <c r="J92" s="560">
        <v>18</v>
      </c>
      <c r="K92" s="559"/>
      <c r="L92" s="773" t="s">
        <v>679</v>
      </c>
      <c r="M92" s="771" t="s">
        <v>476</v>
      </c>
      <c r="N92" s="771">
        <v>80</v>
      </c>
      <c r="O92" s="547"/>
      <c r="P92" s="558" t="str">
        <f t="shared" si="8"/>
        <v>INCLUDED</v>
      </c>
      <c r="Q92" s="516">
        <f t="shared" si="9"/>
        <v>0</v>
      </c>
      <c r="R92" s="452">
        <f t="shared" si="10"/>
        <v>0</v>
      </c>
      <c r="S92" s="640">
        <f>Discount!$J$36</f>
        <v>0</v>
      </c>
      <c r="T92" s="452">
        <f t="shared" si="11"/>
        <v>0</v>
      </c>
      <c r="U92" s="453">
        <f t="shared" si="12"/>
        <v>0</v>
      </c>
      <c r="V92" s="767">
        <f t="shared" si="13"/>
        <v>0</v>
      </c>
      <c r="W92" s="264"/>
      <c r="X92" s="264"/>
      <c r="Y92" s="264"/>
      <c r="Z92" s="264"/>
      <c r="AA92" s="264"/>
    </row>
    <row r="93" spans="1:27" ht="47.25">
      <c r="A93" s="744">
        <v>76</v>
      </c>
      <c r="B93" s="771">
        <v>7000018791</v>
      </c>
      <c r="C93" s="771">
        <v>1220</v>
      </c>
      <c r="D93" s="771">
        <v>1810</v>
      </c>
      <c r="E93" s="771">
        <v>220</v>
      </c>
      <c r="F93" s="771" t="s">
        <v>507</v>
      </c>
      <c r="G93" s="771">
        <v>100015792</v>
      </c>
      <c r="H93" s="771">
        <v>995454</v>
      </c>
      <c r="I93" s="561"/>
      <c r="J93" s="560">
        <v>18</v>
      </c>
      <c r="K93" s="559"/>
      <c r="L93" s="773" t="s">
        <v>680</v>
      </c>
      <c r="M93" s="771" t="s">
        <v>476</v>
      </c>
      <c r="N93" s="771">
        <v>60</v>
      </c>
      <c r="O93" s="547"/>
      <c r="P93" s="558" t="str">
        <f t="shared" si="8"/>
        <v>INCLUDED</v>
      </c>
      <c r="Q93" s="516">
        <f t="shared" si="9"/>
        <v>0</v>
      </c>
      <c r="R93" s="452">
        <f t="shared" si="10"/>
        <v>0</v>
      </c>
      <c r="S93" s="640">
        <f>Discount!$J$36</f>
        <v>0</v>
      </c>
      <c r="T93" s="452">
        <f t="shared" si="11"/>
        <v>0</v>
      </c>
      <c r="U93" s="453">
        <f t="shared" si="12"/>
        <v>0</v>
      </c>
      <c r="V93" s="767">
        <f t="shared" si="13"/>
        <v>0</v>
      </c>
      <c r="W93" s="264"/>
      <c r="X93" s="264"/>
      <c r="Y93" s="264"/>
      <c r="Z93" s="264"/>
      <c r="AA93" s="264"/>
    </row>
    <row r="94" spans="1:27" ht="47.25">
      <c r="A94" s="744">
        <v>77</v>
      </c>
      <c r="B94" s="771">
        <v>7000018791</v>
      </c>
      <c r="C94" s="771">
        <v>1220</v>
      </c>
      <c r="D94" s="771">
        <v>1810</v>
      </c>
      <c r="E94" s="771">
        <v>230</v>
      </c>
      <c r="F94" s="771" t="s">
        <v>507</v>
      </c>
      <c r="G94" s="771">
        <v>100015793</v>
      </c>
      <c r="H94" s="771">
        <v>995454</v>
      </c>
      <c r="I94" s="561"/>
      <c r="J94" s="560">
        <v>18</v>
      </c>
      <c r="K94" s="559"/>
      <c r="L94" s="773" t="s">
        <v>681</v>
      </c>
      <c r="M94" s="771" t="s">
        <v>476</v>
      </c>
      <c r="N94" s="771">
        <v>40</v>
      </c>
      <c r="O94" s="547"/>
      <c r="P94" s="558" t="str">
        <f t="shared" si="8"/>
        <v>INCLUDED</v>
      </c>
      <c r="Q94" s="516">
        <f t="shared" si="9"/>
        <v>0</v>
      </c>
      <c r="R94" s="452">
        <f t="shared" si="10"/>
        <v>0</v>
      </c>
      <c r="S94" s="640">
        <f>Discount!$J$36</f>
        <v>0</v>
      </c>
      <c r="T94" s="452">
        <f t="shared" si="11"/>
        <v>0</v>
      </c>
      <c r="U94" s="453">
        <f t="shared" si="12"/>
        <v>0</v>
      </c>
      <c r="V94" s="767">
        <f t="shared" si="13"/>
        <v>0</v>
      </c>
      <c r="W94" s="264"/>
      <c r="X94" s="264"/>
      <c r="Y94" s="264"/>
      <c r="Z94" s="264"/>
      <c r="AA94" s="264"/>
    </row>
    <row r="95" spans="1:27" ht="47.25">
      <c r="A95" s="744">
        <v>78</v>
      </c>
      <c r="B95" s="771">
        <v>7000018791</v>
      </c>
      <c r="C95" s="771">
        <v>1220</v>
      </c>
      <c r="D95" s="771">
        <v>1810</v>
      </c>
      <c r="E95" s="771">
        <v>240</v>
      </c>
      <c r="F95" s="771" t="s">
        <v>507</v>
      </c>
      <c r="G95" s="771">
        <v>100015794</v>
      </c>
      <c r="H95" s="771">
        <v>995454</v>
      </c>
      <c r="I95" s="561"/>
      <c r="J95" s="560">
        <v>18</v>
      </c>
      <c r="K95" s="559"/>
      <c r="L95" s="773" t="s">
        <v>682</v>
      </c>
      <c r="M95" s="771" t="s">
        <v>476</v>
      </c>
      <c r="N95" s="771">
        <v>20</v>
      </c>
      <c r="O95" s="547"/>
      <c r="P95" s="558" t="str">
        <f t="shared" si="8"/>
        <v>INCLUDED</v>
      </c>
      <c r="Q95" s="516">
        <f t="shared" si="9"/>
        <v>0</v>
      </c>
      <c r="R95" s="452">
        <f t="shared" si="10"/>
        <v>0</v>
      </c>
      <c r="S95" s="640">
        <f>Discount!$J$36</f>
        <v>0</v>
      </c>
      <c r="T95" s="452">
        <f t="shared" si="11"/>
        <v>0</v>
      </c>
      <c r="U95" s="453">
        <f t="shared" si="12"/>
        <v>0</v>
      </c>
      <c r="V95" s="767">
        <f t="shared" si="13"/>
        <v>0</v>
      </c>
      <c r="W95" s="264"/>
      <c r="X95" s="264"/>
      <c r="Y95" s="264"/>
      <c r="Z95" s="264"/>
      <c r="AA95" s="264"/>
    </row>
    <row r="96" spans="1:27" ht="267.75">
      <c r="A96" s="744">
        <v>79</v>
      </c>
      <c r="B96" s="771">
        <v>7000018791</v>
      </c>
      <c r="C96" s="771">
        <v>1220</v>
      </c>
      <c r="D96" s="771">
        <v>1810</v>
      </c>
      <c r="E96" s="771">
        <v>250</v>
      </c>
      <c r="F96" s="771" t="s">
        <v>507</v>
      </c>
      <c r="G96" s="771">
        <v>100002911</v>
      </c>
      <c r="H96" s="771">
        <v>995432</v>
      </c>
      <c r="I96" s="561"/>
      <c r="J96" s="560">
        <v>18</v>
      </c>
      <c r="K96" s="559"/>
      <c r="L96" s="773" t="s">
        <v>535</v>
      </c>
      <c r="M96" s="771" t="s">
        <v>303</v>
      </c>
      <c r="N96" s="771">
        <v>3120</v>
      </c>
      <c r="O96" s="547"/>
      <c r="P96" s="558" t="str">
        <f t="shared" si="8"/>
        <v>INCLUDED</v>
      </c>
      <c r="Q96" s="516">
        <f t="shared" si="9"/>
        <v>0</v>
      </c>
      <c r="R96" s="452">
        <f t="shared" si="10"/>
        <v>0</v>
      </c>
      <c r="S96" s="640">
        <f>Discount!$J$36</f>
        <v>0</v>
      </c>
      <c r="T96" s="452">
        <f t="shared" si="11"/>
        <v>0</v>
      </c>
      <c r="U96" s="453">
        <f t="shared" si="12"/>
        <v>0</v>
      </c>
      <c r="V96" s="767">
        <f t="shared" si="13"/>
        <v>0</v>
      </c>
      <c r="W96" s="264"/>
      <c r="X96" s="264"/>
      <c r="Y96" s="264"/>
      <c r="Z96" s="264"/>
      <c r="AA96" s="264"/>
    </row>
    <row r="97" spans="1:27" ht="126">
      <c r="A97" s="744">
        <v>80</v>
      </c>
      <c r="B97" s="771">
        <v>7000018791</v>
      </c>
      <c r="C97" s="771">
        <v>1220</v>
      </c>
      <c r="D97" s="771">
        <v>1810</v>
      </c>
      <c r="E97" s="771">
        <v>260</v>
      </c>
      <c r="F97" s="771" t="s">
        <v>507</v>
      </c>
      <c r="G97" s="771">
        <v>100002583</v>
      </c>
      <c r="H97" s="771">
        <v>995432</v>
      </c>
      <c r="I97" s="561"/>
      <c r="J97" s="560">
        <v>18</v>
      </c>
      <c r="K97" s="559"/>
      <c r="L97" s="773" t="s">
        <v>536</v>
      </c>
      <c r="M97" s="771" t="s">
        <v>303</v>
      </c>
      <c r="N97" s="771">
        <v>780</v>
      </c>
      <c r="O97" s="547"/>
      <c r="P97" s="558" t="str">
        <f t="shared" si="8"/>
        <v>INCLUDED</v>
      </c>
      <c r="Q97" s="516">
        <f t="shared" si="9"/>
        <v>0</v>
      </c>
      <c r="R97" s="452">
        <f t="shared" si="10"/>
        <v>0</v>
      </c>
      <c r="S97" s="640">
        <f>Discount!$J$36</f>
        <v>0</v>
      </c>
      <c r="T97" s="452">
        <f t="shared" si="11"/>
        <v>0</v>
      </c>
      <c r="U97" s="453">
        <f t="shared" si="12"/>
        <v>0</v>
      </c>
      <c r="V97" s="767">
        <f t="shared" si="13"/>
        <v>0</v>
      </c>
      <c r="W97" s="264"/>
      <c r="X97" s="264"/>
      <c r="Y97" s="264"/>
      <c r="Z97" s="264"/>
      <c r="AA97" s="264"/>
    </row>
    <row r="98" spans="1:27" ht="63">
      <c r="A98" s="744">
        <v>81</v>
      </c>
      <c r="B98" s="771">
        <v>7000018791</v>
      </c>
      <c r="C98" s="771">
        <v>1220</v>
      </c>
      <c r="D98" s="771">
        <v>1810</v>
      </c>
      <c r="E98" s="771">
        <v>270</v>
      </c>
      <c r="F98" s="771" t="s">
        <v>507</v>
      </c>
      <c r="G98" s="771">
        <v>100001721</v>
      </c>
      <c r="H98" s="771">
        <v>995428</v>
      </c>
      <c r="I98" s="561"/>
      <c r="J98" s="560">
        <v>18</v>
      </c>
      <c r="K98" s="559"/>
      <c r="L98" s="773" t="s">
        <v>498</v>
      </c>
      <c r="M98" s="771" t="s">
        <v>303</v>
      </c>
      <c r="N98" s="771">
        <v>199</v>
      </c>
      <c r="O98" s="547"/>
      <c r="P98" s="558" t="str">
        <f t="shared" si="8"/>
        <v>INCLUDED</v>
      </c>
      <c r="Q98" s="516">
        <f t="shared" si="9"/>
        <v>0</v>
      </c>
      <c r="R98" s="452">
        <f t="shared" si="10"/>
        <v>0</v>
      </c>
      <c r="S98" s="640">
        <f>Discount!$J$36</f>
        <v>0</v>
      </c>
      <c r="T98" s="452">
        <f t="shared" si="11"/>
        <v>0</v>
      </c>
      <c r="U98" s="453">
        <f t="shared" si="12"/>
        <v>0</v>
      </c>
      <c r="V98" s="767">
        <f t="shared" si="13"/>
        <v>0</v>
      </c>
      <c r="W98" s="264"/>
      <c r="X98" s="264"/>
      <c r="Y98" s="264"/>
      <c r="Z98" s="264"/>
      <c r="AA98" s="264"/>
    </row>
    <row r="99" spans="1:27" ht="63">
      <c r="A99" s="744">
        <v>82</v>
      </c>
      <c r="B99" s="771">
        <v>7000018791</v>
      </c>
      <c r="C99" s="771">
        <v>1220</v>
      </c>
      <c r="D99" s="771">
        <v>1810</v>
      </c>
      <c r="E99" s="771">
        <v>280</v>
      </c>
      <c r="F99" s="771" t="s">
        <v>507</v>
      </c>
      <c r="G99" s="771">
        <v>100004507</v>
      </c>
      <c r="H99" s="771">
        <v>995421</v>
      </c>
      <c r="I99" s="561"/>
      <c r="J99" s="560">
        <v>18</v>
      </c>
      <c r="K99" s="559"/>
      <c r="L99" s="773" t="s">
        <v>533</v>
      </c>
      <c r="M99" s="771" t="s">
        <v>477</v>
      </c>
      <c r="N99" s="771">
        <v>375</v>
      </c>
      <c r="O99" s="547"/>
      <c r="P99" s="558" t="str">
        <f t="shared" si="8"/>
        <v>INCLUDED</v>
      </c>
      <c r="Q99" s="516">
        <f t="shared" si="9"/>
        <v>0</v>
      </c>
      <c r="R99" s="452">
        <f t="shared" si="10"/>
        <v>0</v>
      </c>
      <c r="S99" s="640">
        <f>Discount!$J$36</f>
        <v>0</v>
      </c>
      <c r="T99" s="452">
        <f t="shared" si="11"/>
        <v>0</v>
      </c>
      <c r="U99" s="453">
        <f t="shared" si="12"/>
        <v>0</v>
      </c>
      <c r="V99" s="767">
        <f t="shared" si="13"/>
        <v>0</v>
      </c>
      <c r="W99" s="264"/>
      <c r="X99" s="264"/>
      <c r="Y99" s="264"/>
      <c r="Z99" s="264"/>
      <c r="AA99" s="264"/>
    </row>
    <row r="100" spans="1:27">
      <c r="A100" s="744">
        <v>83</v>
      </c>
      <c r="B100" s="771">
        <v>7000018791</v>
      </c>
      <c r="C100" s="771">
        <v>1220</v>
      </c>
      <c r="D100" s="771">
        <v>1810</v>
      </c>
      <c r="E100" s="771">
        <v>290</v>
      </c>
      <c r="F100" s="771" t="s">
        <v>507</v>
      </c>
      <c r="G100" s="771">
        <v>100001717</v>
      </c>
      <c r="H100" s="771">
        <v>995434</v>
      </c>
      <c r="I100" s="561"/>
      <c r="J100" s="560">
        <v>18</v>
      </c>
      <c r="K100" s="559"/>
      <c r="L100" s="773" t="s">
        <v>683</v>
      </c>
      <c r="M100" s="771" t="s">
        <v>476</v>
      </c>
      <c r="N100" s="771">
        <v>100</v>
      </c>
      <c r="O100" s="547"/>
      <c r="P100" s="558" t="str">
        <f t="shared" si="8"/>
        <v>INCLUDED</v>
      </c>
      <c r="Q100" s="516">
        <f t="shared" si="9"/>
        <v>0</v>
      </c>
      <c r="R100" s="452">
        <f t="shared" si="10"/>
        <v>0</v>
      </c>
      <c r="S100" s="640">
        <f>Discount!$J$36</f>
        <v>0</v>
      </c>
      <c r="T100" s="452">
        <f t="shared" si="11"/>
        <v>0</v>
      </c>
      <c r="U100" s="453">
        <f t="shared" si="12"/>
        <v>0</v>
      </c>
      <c r="V100" s="767">
        <f t="shared" si="13"/>
        <v>0</v>
      </c>
      <c r="W100" s="264"/>
      <c r="X100" s="264"/>
      <c r="Y100" s="264"/>
      <c r="Z100" s="264"/>
      <c r="AA100" s="264"/>
    </row>
    <row r="101" spans="1:27">
      <c r="A101" s="744">
        <v>84</v>
      </c>
      <c r="B101" s="771">
        <v>7000018791</v>
      </c>
      <c r="C101" s="771">
        <v>1220</v>
      </c>
      <c r="D101" s="771">
        <v>1810</v>
      </c>
      <c r="E101" s="771">
        <v>300</v>
      </c>
      <c r="F101" s="771" t="s">
        <v>507</v>
      </c>
      <c r="G101" s="771">
        <v>100001445</v>
      </c>
      <c r="H101" s="771">
        <v>995429</v>
      </c>
      <c r="I101" s="561"/>
      <c r="J101" s="560">
        <v>18</v>
      </c>
      <c r="K101" s="559"/>
      <c r="L101" s="773" t="s">
        <v>684</v>
      </c>
      <c r="M101" s="771" t="s">
        <v>477</v>
      </c>
      <c r="N101" s="771">
        <v>188</v>
      </c>
      <c r="O101" s="547"/>
      <c r="P101" s="558" t="str">
        <f t="shared" si="8"/>
        <v>INCLUDED</v>
      </c>
      <c r="Q101" s="516">
        <f t="shared" si="9"/>
        <v>0</v>
      </c>
      <c r="R101" s="452">
        <f t="shared" si="10"/>
        <v>0</v>
      </c>
      <c r="S101" s="640">
        <f>Discount!$J$36</f>
        <v>0</v>
      </c>
      <c r="T101" s="452">
        <f t="shared" si="11"/>
        <v>0</v>
      </c>
      <c r="U101" s="453">
        <f t="shared" si="12"/>
        <v>0</v>
      </c>
      <c r="V101" s="767"/>
      <c r="W101" s="264"/>
      <c r="X101" s="264"/>
      <c r="Y101" s="264"/>
      <c r="Z101" s="264"/>
      <c r="AA101" s="264"/>
    </row>
    <row r="102" spans="1:27">
      <c r="A102" s="744">
        <v>85</v>
      </c>
      <c r="B102" s="771">
        <v>7000018791</v>
      </c>
      <c r="C102" s="771">
        <v>1250</v>
      </c>
      <c r="D102" s="771">
        <v>1850</v>
      </c>
      <c r="E102" s="771">
        <v>10</v>
      </c>
      <c r="F102" s="771" t="s">
        <v>522</v>
      </c>
      <c r="G102" s="771">
        <v>100000898</v>
      </c>
      <c r="H102" s="771">
        <v>998736</v>
      </c>
      <c r="I102" s="561"/>
      <c r="J102" s="560">
        <v>18</v>
      </c>
      <c r="K102" s="559"/>
      <c r="L102" s="773" t="s">
        <v>630</v>
      </c>
      <c r="M102" s="771" t="s">
        <v>301</v>
      </c>
      <c r="N102" s="771">
        <v>1</v>
      </c>
      <c r="O102" s="547"/>
      <c r="P102" s="558" t="str">
        <f t="shared" si="8"/>
        <v>INCLUDED</v>
      </c>
      <c r="Q102" s="516">
        <f t="shared" si="9"/>
        <v>0</v>
      </c>
      <c r="R102" s="452">
        <f t="shared" si="10"/>
        <v>0</v>
      </c>
      <c r="S102" s="640">
        <f>Discount!$J$36</f>
        <v>0</v>
      </c>
      <c r="T102" s="452">
        <f t="shared" si="11"/>
        <v>0</v>
      </c>
      <c r="U102" s="453">
        <f t="shared" si="12"/>
        <v>0</v>
      </c>
      <c r="V102" s="767"/>
      <c r="W102" s="264"/>
      <c r="X102" s="264"/>
      <c r="Y102" s="264"/>
      <c r="Z102" s="264"/>
      <c r="AA102" s="264"/>
    </row>
    <row r="103" spans="1:27">
      <c r="A103" s="744">
        <v>86</v>
      </c>
      <c r="B103" s="771">
        <v>7000018791</v>
      </c>
      <c r="C103" s="771">
        <v>1250</v>
      </c>
      <c r="D103" s="771">
        <v>1850</v>
      </c>
      <c r="E103" s="771">
        <v>20</v>
      </c>
      <c r="F103" s="771" t="s">
        <v>522</v>
      </c>
      <c r="G103" s="771">
        <v>100000896</v>
      </c>
      <c r="H103" s="771">
        <v>998736</v>
      </c>
      <c r="I103" s="561"/>
      <c r="J103" s="560">
        <v>18</v>
      </c>
      <c r="K103" s="559"/>
      <c r="L103" s="773" t="s">
        <v>527</v>
      </c>
      <c r="M103" s="771" t="s">
        <v>301</v>
      </c>
      <c r="N103" s="771">
        <v>1</v>
      </c>
      <c r="O103" s="547"/>
      <c r="P103" s="558" t="str">
        <f t="shared" si="8"/>
        <v>INCLUDED</v>
      </c>
      <c r="Q103" s="516">
        <f t="shared" si="9"/>
        <v>0</v>
      </c>
      <c r="R103" s="452">
        <f t="shared" si="10"/>
        <v>0</v>
      </c>
      <c r="S103" s="640">
        <f>Discount!$J$36</f>
        <v>0</v>
      </c>
      <c r="T103" s="452">
        <f t="shared" si="11"/>
        <v>0</v>
      </c>
      <c r="U103" s="453">
        <f t="shared" si="12"/>
        <v>0</v>
      </c>
      <c r="V103" s="767">
        <f t="shared" si="13"/>
        <v>0</v>
      </c>
      <c r="W103" s="264"/>
      <c r="X103" s="264"/>
      <c r="Y103" s="264"/>
      <c r="Z103" s="264"/>
      <c r="AA103" s="264"/>
    </row>
    <row r="104" spans="1:27" ht="28.5" customHeight="1">
      <c r="A104" s="618"/>
      <c r="B104" s="622" t="s">
        <v>196</v>
      </c>
      <c r="C104" s="620"/>
      <c r="D104" s="620"/>
      <c r="E104" s="620"/>
      <c r="F104" s="619"/>
      <c r="G104" s="619"/>
      <c r="H104" s="619"/>
      <c r="I104" s="619"/>
      <c r="J104" s="619"/>
      <c r="K104" s="619"/>
      <c r="L104" s="619"/>
      <c r="M104" s="619"/>
      <c r="N104" s="621"/>
      <c r="O104" s="619"/>
      <c r="P104" s="736">
        <f>SUM(P18:P103)</f>
        <v>0</v>
      </c>
      <c r="Q104" s="643"/>
      <c r="R104" s="642">
        <f>SUM(R18:R103)</f>
        <v>0</v>
      </c>
      <c r="S104" s="263"/>
      <c r="T104" s="454"/>
      <c r="U104" s="642">
        <f>SUM(U18:U103)</f>
        <v>0</v>
      </c>
      <c r="V104" s="767">
        <f>SUM(V18:V103)</f>
        <v>0</v>
      </c>
      <c r="W104" s="264"/>
      <c r="X104" s="264"/>
      <c r="Y104" s="264"/>
      <c r="Z104" s="264"/>
      <c r="AA104" s="264"/>
    </row>
    <row r="105" spans="1:27" ht="21.75" customHeight="1">
      <c r="B105" s="745"/>
      <c r="C105" s="746"/>
      <c r="D105" s="746"/>
      <c r="E105" s="746"/>
      <c r="F105" s="746"/>
      <c r="G105" s="746"/>
      <c r="H105" s="746"/>
      <c r="I105" s="746"/>
      <c r="J105" s="746"/>
      <c r="K105" s="746"/>
      <c r="L105" s="746"/>
      <c r="M105" s="481"/>
      <c r="N105" s="469"/>
      <c r="O105" s="481"/>
      <c r="P105" s="481"/>
      <c r="Q105" s="479"/>
      <c r="R105" s="263"/>
      <c r="S105" s="263"/>
      <c r="T105" s="454"/>
      <c r="U105" s="263"/>
      <c r="V105" s="264"/>
      <c r="W105" s="264"/>
      <c r="X105" s="264"/>
      <c r="Y105" s="264"/>
      <c r="Z105" s="264"/>
      <c r="AA105" s="264"/>
    </row>
    <row r="106" spans="1:27" ht="30" customHeight="1">
      <c r="A106" s="611" t="s">
        <v>359</v>
      </c>
      <c r="B106" s="855" t="s">
        <v>360</v>
      </c>
      <c r="C106" s="855"/>
      <c r="D106" s="855"/>
      <c r="E106" s="855"/>
      <c r="F106" s="855"/>
      <c r="G106" s="855"/>
      <c r="H106" s="855"/>
      <c r="I106" s="855"/>
      <c r="J106" s="855"/>
      <c r="K106" s="855"/>
      <c r="L106" s="855"/>
      <c r="M106" s="855"/>
      <c r="N106" s="855"/>
      <c r="O106" s="855"/>
      <c r="P106" s="855"/>
      <c r="Q106" s="479"/>
      <c r="R106" s="263"/>
      <c r="S106" s="263"/>
      <c r="T106" s="454"/>
      <c r="U106" s="263"/>
      <c r="V106" s="264"/>
      <c r="W106" s="264"/>
      <c r="X106" s="264"/>
      <c r="Y106" s="264"/>
      <c r="Z106" s="264"/>
      <c r="AA106" s="264"/>
    </row>
    <row r="107" spans="1:27" ht="21.75" customHeight="1">
      <c r="A107" s="747"/>
      <c r="B107" s="435"/>
      <c r="C107" s="330"/>
      <c r="D107" s="331"/>
      <c r="E107" s="332"/>
      <c r="F107" s="426"/>
      <c r="G107" s="426"/>
      <c r="H107" s="426"/>
      <c r="I107" s="426"/>
      <c r="J107" s="426"/>
      <c r="K107" s="426"/>
      <c r="L107" s="416"/>
      <c r="M107" s="481"/>
      <c r="N107" s="469"/>
      <c r="O107" s="481"/>
      <c r="P107" s="481"/>
      <c r="Q107" s="479"/>
      <c r="R107" s="263"/>
      <c r="S107" s="263"/>
      <c r="T107" s="454"/>
      <c r="U107" s="263"/>
      <c r="V107" s="264"/>
      <c r="W107" s="264"/>
      <c r="X107" s="264"/>
      <c r="Y107" s="264"/>
      <c r="Z107" s="264"/>
      <c r="AA107" s="264"/>
    </row>
    <row r="108" spans="1:27" ht="21.75" customHeight="1">
      <c r="A108" s="747"/>
      <c r="B108" s="435"/>
      <c r="C108" s="330"/>
      <c r="D108" s="331"/>
      <c r="E108" s="332"/>
      <c r="F108" s="426"/>
      <c r="G108" s="426"/>
      <c r="H108" s="426"/>
      <c r="I108" s="426"/>
      <c r="J108" s="426"/>
      <c r="K108" s="426"/>
      <c r="L108" s="416"/>
      <c r="M108" s="481"/>
      <c r="N108" s="469"/>
      <c r="O108" s="481"/>
      <c r="P108" s="481"/>
      <c r="Q108" s="479"/>
      <c r="R108" s="263"/>
      <c r="S108" s="263"/>
      <c r="T108" s="454"/>
      <c r="U108" s="263"/>
      <c r="V108" s="264"/>
      <c r="W108" s="264"/>
      <c r="X108" s="264"/>
      <c r="Y108" s="264"/>
      <c r="Z108" s="264"/>
      <c r="AA108" s="264"/>
    </row>
    <row r="109" spans="1:27" s="469" customFormat="1" ht="16.5">
      <c r="A109" s="611"/>
      <c r="B109" s="612" t="s">
        <v>317</v>
      </c>
      <c r="C109" s="858" t="str">
        <f>'Sch-1'!C131:D131</f>
        <v xml:space="preserve">  </v>
      </c>
      <c r="D109" s="858"/>
      <c r="E109" s="858"/>
      <c r="F109" s="611"/>
      <c r="G109" s="611"/>
      <c r="H109" s="611"/>
      <c r="I109" s="611"/>
      <c r="J109" s="611"/>
      <c r="K109" s="611"/>
      <c r="L109" s="611"/>
      <c r="M109" s="856" t="s">
        <v>319</v>
      </c>
      <c r="N109" s="856"/>
      <c r="O109" s="859" t="str">
        <f>'Sch-1'!K131</f>
        <v/>
      </c>
      <c r="P109" s="859"/>
      <c r="R109" s="480"/>
      <c r="S109" s="480"/>
      <c r="T109" s="480"/>
      <c r="U109" s="480"/>
    </row>
    <row r="110" spans="1:27" s="469" customFormat="1" ht="16.5">
      <c r="A110" s="611"/>
      <c r="B110" s="612" t="s">
        <v>318</v>
      </c>
      <c r="C110" s="857" t="str">
        <f>'Sch-1'!C132:D132</f>
        <v/>
      </c>
      <c r="D110" s="857"/>
      <c r="E110" s="857"/>
      <c r="F110" s="611"/>
      <c r="G110" s="611"/>
      <c r="H110" s="611"/>
      <c r="I110" s="611"/>
      <c r="J110" s="611"/>
      <c r="K110" s="611"/>
      <c r="L110" s="611"/>
      <c r="M110" s="856" t="s">
        <v>124</v>
      </c>
      <c r="N110" s="856"/>
      <c r="O110" s="859" t="str">
        <f>'Sch-1'!K132</f>
        <v/>
      </c>
      <c r="P110" s="859"/>
      <c r="R110" s="480"/>
      <c r="S110" s="480"/>
      <c r="T110" s="480"/>
      <c r="U110" s="480"/>
    </row>
    <row r="111" spans="1:27" ht="16.5">
      <c r="B111" s="435"/>
      <c r="C111" s="330"/>
      <c r="D111" s="3"/>
      <c r="E111" s="332"/>
      <c r="F111" s="436"/>
      <c r="G111" s="426"/>
      <c r="H111" s="426"/>
      <c r="I111" s="426"/>
      <c r="J111" s="426"/>
      <c r="K111" s="426"/>
      <c r="L111" s="416"/>
      <c r="M111" s="481"/>
      <c r="N111" s="469"/>
      <c r="O111" s="481"/>
      <c r="P111" s="481"/>
      <c r="Q111" s="481"/>
    </row>
    <row r="112" spans="1:27" ht="16.5">
      <c r="B112" s="437"/>
      <c r="C112" s="335"/>
      <c r="D112" s="336"/>
      <c r="E112" s="332"/>
      <c r="F112" s="436"/>
      <c r="G112" s="438"/>
      <c r="H112" s="438"/>
      <c r="I112" s="438"/>
      <c r="J112" s="438"/>
      <c r="K112" s="438"/>
      <c r="L112" s="416"/>
      <c r="M112" s="481"/>
      <c r="N112" s="469"/>
      <c r="O112" s="481"/>
      <c r="P112" s="481"/>
      <c r="Q112" s="481"/>
    </row>
    <row r="114" spans="16:16">
      <c r="P114" s="729">
        <f>P104*0.18</f>
        <v>0</v>
      </c>
    </row>
  </sheetData>
  <sheetProtection algorithmName="SHA-512" hashValue="th5IYJPoBkU6qWM7k7wKvbJGVsSnEgm8295r9LB6KW1GYwZHTtTuhRZ9f1/MEUAOruUK4Uc7TFcOyitREnwrYw==" saltValue="KSyW4UNEUjfdDeRugfvSGA==" spinCount="100000" sheet="1" formatColumns="0" formatRows="0" selectLockedCells="1"/>
  <customSheetViews>
    <customSheetView guid="{858F61A7-D995-4540-8BB4-0D5C12D88289}" scale="70" showPageBreaks="1" printArea="1" hiddenColumns="1" view="pageBreakPreview" topLeftCell="F97">
      <selection activeCell="Y108" sqref="Y108"/>
      <pageMargins left="0.2" right="0.2" top="0.75" bottom="0.5" header="0.3" footer="0.3"/>
      <printOptions horizontalCentered="1"/>
      <pageSetup paperSize="9" scale="49" orientation="landscape" r:id="rId1"/>
      <headerFooter>
        <oddHeader>&amp;RSchedule-3
Page &amp;P of &amp;N</oddHeader>
      </headerFooter>
    </customSheetView>
    <customSheetView guid="{CCA37BAE-906F-43D5-9FD9-B13563E4B9D7}" scale="70" showPageBreaks="1" printArea="1" hiddenColumns="1" view="pageBreakPreview" topLeftCell="A18">
      <selection activeCell="I18" sqref="I18"/>
      <pageMargins left="0.2" right="0.2" top="0.75" bottom="0.5" header="0.3" footer="0.3"/>
      <printOptions horizontalCentered="1"/>
      <pageSetup paperSize="9" scale="49" orientation="landscape" r:id="rId2"/>
      <headerFooter>
        <oddHeader>&amp;RSchedule-3
Page &amp;P of &amp;N</oddHeader>
      </headerFooter>
    </customSheetView>
    <customSheetView guid="{CA9345C4-09FE-4F27-BFD9-3D9BCD2DED09}" scale="70" showPageBreaks="1" printArea="1" hiddenColumns="1" view="pageBreakPreview" topLeftCell="A21">
      <selection activeCell="I21" sqref="I21"/>
      <pageMargins left="0.2" right="0.2" top="0.75" bottom="0.5" header="0.3" footer="0.3"/>
      <printOptions horizontalCentered="1"/>
      <pageSetup paperSize="9" scale="49" orientation="landscape" r:id="rId3"/>
      <headerFooter>
        <oddHeader>&amp;RSchedule-3
Page &amp;P of &amp;N</oddHeader>
      </headerFooter>
    </customSheetView>
    <customSheetView guid="{7AB1F867-F01E-4EB9-A93D-DDCFDB9AA444}" scale="98" showPageBreaks="1" printArea="1" hiddenColumns="1" view="pageBreakPreview" topLeftCell="K85">
      <selection activeCell="O93" sqref="O93"/>
      <pageMargins left="0.2" right="0.2" top="0.75" bottom="0.5" header="0.3" footer="0.3"/>
      <printOptions horizontalCentered="1"/>
      <pageSetup paperSize="9" scale="50" orientation="landscape" r:id="rId4"/>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5"/>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6"/>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8"/>
      <headerFooter>
        <oddHeader>&amp;RSchedule-3
Page &amp;P of &amp;N</oddHeader>
      </headerFooter>
    </customSheetView>
    <customSheetView guid="{497EA202-A8B8-45C5-9E6C-C3CD104F3979}" scale="60" showPageBreaks="1" printArea="1" hiddenColumns="1" view="pageBreakPreview" topLeftCell="A70">
      <selection activeCell="I70" sqref="I70"/>
      <pageMargins left="0.2" right="0.2" top="0.75" bottom="0.5" header="0.3" footer="0.3"/>
      <printOptions horizontalCentered="1"/>
      <pageSetup paperSize="9" scale="52" orientation="landscape" r:id="rId9"/>
      <headerFooter>
        <oddHeader>&amp;RSchedule-3
Page &amp;P of &amp;N</oddHeader>
      </headerFooter>
    </customSheetView>
    <customSheetView guid="{63D51328-7CBC-4A1E-B96D-BAE91416501B}" scale="60" showPageBreaks="1" printArea="1" hiddenColumns="1" view="pageBreakPreview" topLeftCell="A2">
      <selection activeCell="O22" sqref="O22"/>
      <pageMargins left="0.2" right="0.2" top="0.75" bottom="0.5" header="0.3" footer="0.3"/>
      <printOptions horizontalCentered="1"/>
      <pageSetup paperSize="9" scale="50" orientation="landscape" r:id="rId10"/>
      <headerFooter>
        <oddHeader>&amp;RSchedule-3
Page &amp;P of &amp;N</oddHeader>
      </headerFooter>
    </customSheetView>
    <customSheetView guid="{D5521983-A70D-48A3-9506-C0263CBBC57D}" scale="98" showPageBreaks="1" printArea="1" hiddenColumns="1" view="pageBreakPreview" topLeftCell="K85">
      <selection activeCell="O93" sqref="O93"/>
      <pageMargins left="0.2" right="0.2" top="0.75" bottom="0.5" header="0.3" footer="0.3"/>
      <printOptions horizontalCentered="1"/>
      <pageSetup paperSize="9" scale="50" orientation="landscape" r:id="rId11"/>
      <headerFooter>
        <oddHeader>&amp;RSchedule-3
Page &amp;P of &amp;N</oddHeader>
      </headerFooter>
    </customSheetView>
    <customSheetView guid="{12A89170-4F84-482D-A3C5-7890082E7B73}" scale="98" showPageBreaks="1" printArea="1" hiddenColumns="1" view="pageBreakPreview" topLeftCell="E74">
      <selection activeCell="O78" sqref="O78"/>
      <pageMargins left="0.2" right="0.2" top="0.75" bottom="0.5" header="0.3" footer="0.3"/>
      <printOptions horizontalCentered="1"/>
      <pageSetup paperSize="9" scale="49" orientation="landscape" r:id="rId12"/>
      <headerFooter>
        <oddHeader>&amp;RSchedule-3
Page &amp;P of &amp;N</oddHeader>
      </headerFooter>
    </customSheetView>
  </customSheetViews>
  <mergeCells count="17">
    <mergeCell ref="C12:G12"/>
    <mergeCell ref="A14:P14"/>
    <mergeCell ref="C11:G11"/>
    <mergeCell ref="C10:G10"/>
    <mergeCell ref="C9:G9"/>
    <mergeCell ref="A3:P3"/>
    <mergeCell ref="A4:P4"/>
    <mergeCell ref="A6:B6"/>
    <mergeCell ref="A7:I7"/>
    <mergeCell ref="A8:G8"/>
    <mergeCell ref="B106:P106"/>
    <mergeCell ref="M110:N110"/>
    <mergeCell ref="M109:N109"/>
    <mergeCell ref="C110:E110"/>
    <mergeCell ref="C109:E109"/>
    <mergeCell ref="O110:P110"/>
    <mergeCell ref="O109:P109"/>
  </mergeCells>
  <conditionalFormatting sqref="K18:K19 K83:K103">
    <cfRule type="expression" dxfId="12" priority="44" stopIfTrue="1">
      <formula>J18&gt;0</formula>
    </cfRule>
  </conditionalFormatting>
  <conditionalFormatting sqref="K71:K75 K77:K82">
    <cfRule type="expression" dxfId="11" priority="33" stopIfTrue="1">
      <formula>J71&gt;0</formula>
    </cfRule>
  </conditionalFormatting>
  <conditionalFormatting sqref="K60:K70">
    <cfRule type="expression" dxfId="10" priority="32" stopIfTrue="1">
      <formula>J60&gt;0</formula>
    </cfRule>
  </conditionalFormatting>
  <conditionalFormatting sqref="K53:K59">
    <cfRule type="expression" dxfId="9" priority="31" stopIfTrue="1">
      <formula>J53&gt;0</formula>
    </cfRule>
  </conditionalFormatting>
  <conditionalFormatting sqref="K42:K52">
    <cfRule type="expression" dxfId="8" priority="30" stopIfTrue="1">
      <formula>J42&gt;0</formula>
    </cfRule>
  </conditionalFormatting>
  <conditionalFormatting sqref="K31:K41">
    <cfRule type="expression" dxfId="7" priority="29" stopIfTrue="1">
      <formula>J31&gt;0</formula>
    </cfRule>
  </conditionalFormatting>
  <conditionalFormatting sqref="K20:K30">
    <cfRule type="expression" dxfId="6" priority="28" stopIfTrue="1">
      <formula>J20&gt;0</formula>
    </cfRule>
  </conditionalFormatting>
  <conditionalFormatting sqref="K76">
    <cfRule type="expression" dxfId="5" priority="12" stopIfTrue="1">
      <formula>J76&gt;0</formula>
    </cfRule>
  </conditionalFormatting>
  <dataValidations count="5">
    <dataValidation type="list" allowBlank="1" showInputMessage="1" showErrorMessage="1" sqref="IJ64539 A64539:K64539" xr:uid="{00000000-0002-0000-0600-000000000000}">
      <formula1>#REF!</formula1>
    </dataValidation>
    <dataValidation type="decimal" operator="greaterThan" allowBlank="1" showInputMessage="1" showErrorMessage="1" error="Enter only Numeric Value greater than zero or leave the cell blank !" sqref="O64509:O64555" xr:uid="{00000000-0002-0000-0600-000001000000}">
      <formula1>0</formula1>
    </dataValidation>
    <dataValidation type="list" operator="greaterThan" allowBlank="1" showInputMessage="1" showErrorMessage="1" sqref="K18:K103" xr:uid="{00000000-0002-0000-0600-000002000000}">
      <formula1>"0%,5%,12%,18%,28%"</formula1>
    </dataValidation>
    <dataValidation type="whole" operator="greaterThan" allowBlank="1" showInputMessage="1" showErrorMessage="1" sqref="I18:I103" xr:uid="{00000000-0002-0000-0600-000003000000}">
      <formula1>0</formula1>
    </dataValidation>
    <dataValidation type="decimal" operator="greaterThanOrEqual" allowBlank="1" showInputMessage="1" showErrorMessage="1" sqref="O18:O103" xr:uid="{00000000-0002-0000-0600-000004000000}">
      <formula1>0</formula1>
    </dataValidation>
  </dataValidations>
  <printOptions horizontalCentered="1"/>
  <pageMargins left="0.2" right="0.2" top="0.75" bottom="0.5" header="0.3" footer="0.3"/>
  <pageSetup paperSize="9" scale="49" orientation="landscape" r:id="rId13"/>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Normal="100" zoomScaleSheetLayoutView="100" workbookViewId="0">
      <selection activeCell="R19" sqref="R19"/>
    </sheetView>
  </sheetViews>
  <sheetFormatPr defaultColWidth="9.140625" defaultRowHeight="15.75"/>
  <cols>
    <col min="1" max="1" width="7.5703125" style="507" customWidth="1"/>
    <col min="2" max="2" width="9" style="507" customWidth="1"/>
    <col min="3" max="3" width="10.28515625" style="507" customWidth="1"/>
    <col min="4" max="4" width="10.85546875" style="507" customWidth="1"/>
    <col min="5" max="5" width="11.140625" style="507" customWidth="1"/>
    <col min="6" max="6" width="13.7109375" style="507" customWidth="1"/>
    <col min="7" max="7" width="15.42578125" style="507" customWidth="1"/>
    <col min="8" max="11" width="16.85546875" style="507" customWidth="1"/>
    <col min="12" max="12" width="14.42578125" style="508" customWidth="1"/>
    <col min="13" max="13" width="9" style="507" customWidth="1"/>
    <col min="14" max="14" width="11.42578125" style="507" customWidth="1"/>
    <col min="15" max="15" width="13.28515625" style="507" customWidth="1"/>
    <col min="16" max="16" width="15.7109375" style="512" customWidth="1"/>
    <col min="17" max="16384" width="9.140625" style="512"/>
  </cols>
  <sheetData>
    <row r="1" spans="1:16" s="509" customFormat="1" ht="24.75" customHeight="1">
      <c r="A1" s="492" t="str">
        <f>Cover!B3</f>
        <v>Specification No.: 5002002330/CONSULTANCY GIVEN/DOM/A06-CC CS -7</v>
      </c>
      <c r="B1" s="492"/>
      <c r="C1" s="492"/>
      <c r="D1" s="492"/>
      <c r="E1" s="492"/>
      <c r="F1" s="492"/>
      <c r="G1" s="493"/>
      <c r="H1" s="493"/>
      <c r="I1" s="493"/>
      <c r="J1" s="493"/>
      <c r="K1" s="493"/>
      <c r="L1" s="494"/>
      <c r="M1" s="495"/>
      <c r="N1" s="496"/>
      <c r="O1" s="496"/>
      <c r="P1" s="497" t="s">
        <v>25</v>
      </c>
    </row>
    <row r="2" spans="1:16" s="509" customFormat="1">
      <c r="A2" s="11"/>
      <c r="B2" s="11"/>
      <c r="C2" s="11"/>
      <c r="D2" s="11"/>
      <c r="E2" s="11"/>
      <c r="F2" s="11"/>
      <c r="G2" s="498"/>
      <c r="H2" s="498"/>
      <c r="I2" s="498"/>
      <c r="J2" s="498"/>
      <c r="K2" s="498"/>
      <c r="L2" s="499"/>
      <c r="M2" s="500"/>
      <c r="N2" s="501"/>
      <c r="O2" s="501"/>
    </row>
    <row r="3" spans="1:16" s="509" customFormat="1" ht="62.25" customHeight="1">
      <c r="A3" s="871" t="str">
        <f>Cover!$B$2</f>
        <v xml:space="preserve">Substation Package SS01 for extension of 400kV Gorakhpur Substation through GIS bays for termination of 400 KV D/C New Butwal - Gorakhpur Transmission Line under Cross Border Interconnection
</v>
      </c>
      <c r="B3" s="871"/>
      <c r="C3" s="871"/>
      <c r="D3" s="871"/>
      <c r="E3" s="871"/>
      <c r="F3" s="871"/>
      <c r="G3" s="871"/>
      <c r="H3" s="871"/>
      <c r="I3" s="871"/>
      <c r="J3" s="871"/>
      <c r="K3" s="871"/>
      <c r="L3" s="871"/>
      <c r="M3" s="871"/>
      <c r="N3" s="871"/>
      <c r="O3" s="871"/>
      <c r="P3" s="871"/>
    </row>
    <row r="4" spans="1:16" s="509" customFormat="1" ht="16.5">
      <c r="A4" s="872" t="s">
        <v>18</v>
      </c>
      <c r="B4" s="872"/>
      <c r="C4" s="872"/>
      <c r="D4" s="872"/>
      <c r="E4" s="872"/>
      <c r="F4" s="872"/>
      <c r="G4" s="872"/>
      <c r="H4" s="872"/>
      <c r="I4" s="872"/>
      <c r="J4" s="872"/>
      <c r="K4" s="872"/>
      <c r="L4" s="872"/>
      <c r="M4" s="872"/>
      <c r="N4" s="872"/>
      <c r="O4" s="872"/>
      <c r="P4" s="872"/>
    </row>
    <row r="5" spans="1:16" s="509" customFormat="1">
      <c r="A5" s="502"/>
      <c r="B5" s="502"/>
      <c r="C5" s="502"/>
      <c r="D5" s="502"/>
      <c r="E5" s="502"/>
      <c r="F5" s="502"/>
      <c r="G5" s="503"/>
      <c r="H5" s="503"/>
      <c r="I5" s="503"/>
      <c r="J5" s="503"/>
      <c r="K5" s="503"/>
      <c r="L5" s="503"/>
      <c r="M5" s="502"/>
      <c r="N5" s="502"/>
      <c r="O5" s="502"/>
    </row>
    <row r="6" spans="1:16" s="509" customFormat="1" ht="20.25" customHeight="1">
      <c r="A6" s="835" t="s">
        <v>352</v>
      </c>
      <c r="B6" s="835"/>
      <c r="C6" s="4"/>
      <c r="D6" s="352"/>
      <c r="E6" s="4"/>
      <c r="F6" s="4"/>
      <c r="G6" s="4"/>
      <c r="H6" s="4"/>
      <c r="I6" s="4"/>
      <c r="J6" s="503"/>
      <c r="K6" s="503"/>
      <c r="L6" s="503"/>
      <c r="M6" s="502"/>
      <c r="N6" s="502"/>
      <c r="O6" s="502"/>
    </row>
    <row r="7" spans="1:16" s="509" customFormat="1" ht="21" customHeight="1">
      <c r="A7" s="840">
        <f>'Sch-1'!A7</f>
        <v>0</v>
      </c>
      <c r="B7" s="840"/>
      <c r="C7" s="840"/>
      <c r="D7" s="840"/>
      <c r="E7" s="840"/>
      <c r="F7" s="840"/>
      <c r="G7" s="840"/>
      <c r="H7" s="840"/>
      <c r="I7" s="840"/>
      <c r="J7" s="5"/>
      <c r="K7" s="5"/>
      <c r="L7" s="393"/>
      <c r="M7" s="5"/>
      <c r="N7" s="504" t="s">
        <v>1</v>
      </c>
      <c r="O7" s="501"/>
    </row>
    <row r="8" spans="1:16" s="509" customFormat="1" ht="21" customHeight="1">
      <c r="A8" s="836" t="str">
        <f>"Bidder’s Name and Address  (" &amp; MID('Names of Bidder'!B9,9, 20) &amp; ") :"</f>
        <v>Bidder’s Name and Address  (Sole Bidder) :</v>
      </c>
      <c r="B8" s="836"/>
      <c r="C8" s="836"/>
      <c r="D8" s="836"/>
      <c r="E8" s="836"/>
      <c r="F8" s="836"/>
      <c r="G8" s="836"/>
      <c r="H8" s="549"/>
      <c r="I8" s="549"/>
      <c r="J8" s="518"/>
      <c r="K8" s="518"/>
      <c r="L8" s="518"/>
      <c r="M8" s="518"/>
      <c r="N8" s="12" t="str">
        <f>'Sch-1'!K8</f>
        <v>Contract Services</v>
      </c>
      <c r="O8" s="501"/>
    </row>
    <row r="9" spans="1:16" s="509" customFormat="1" ht="24" customHeight="1">
      <c r="A9" s="462" t="s">
        <v>12</v>
      </c>
      <c r="B9" s="408"/>
      <c r="C9" s="839" t="str">
        <f>IF('Names of Bidder'!D9=0, "", 'Names of Bidder'!D9)</f>
        <v/>
      </c>
      <c r="D9" s="839"/>
      <c r="E9" s="839"/>
      <c r="F9" s="839"/>
      <c r="G9" s="839"/>
      <c r="H9" s="445"/>
      <c r="I9" s="409"/>
      <c r="J9" s="262"/>
      <c r="K9" s="262"/>
      <c r="L9" s="510"/>
      <c r="N9" s="12" t="str">
        <f>'Sch-1'!K9</f>
        <v>Power Grid Corporation of India Ltd.,</v>
      </c>
      <c r="O9" s="501"/>
    </row>
    <row r="10" spans="1:16" s="509" customFormat="1" ht="16.5">
      <c r="A10" s="462" t="s">
        <v>11</v>
      </c>
      <c r="B10" s="408"/>
      <c r="C10" s="838" t="str">
        <f>IF('Names of Bidder'!D10=0, "", 'Names of Bidder'!D10)</f>
        <v/>
      </c>
      <c r="D10" s="838"/>
      <c r="E10" s="838"/>
      <c r="F10" s="838"/>
      <c r="G10" s="838"/>
      <c r="H10" s="445"/>
      <c r="I10" s="409"/>
      <c r="J10" s="262"/>
      <c r="K10" s="262"/>
      <c r="L10" s="510"/>
      <c r="N10" s="12" t="str">
        <f>'Sch-1'!K10</f>
        <v>"Saudamini", Plot No.-2</v>
      </c>
      <c r="O10" s="501"/>
    </row>
    <row r="11" spans="1:16" s="509" customFormat="1">
      <c r="A11" s="409"/>
      <c r="B11" s="409"/>
      <c r="C11" s="838" t="str">
        <f>IF('Names of Bidder'!D11=0, "", 'Names of Bidder'!D11)</f>
        <v/>
      </c>
      <c r="D11" s="838"/>
      <c r="E11" s="838"/>
      <c r="F11" s="838"/>
      <c r="G11" s="838"/>
      <c r="H11" s="445"/>
      <c r="I11" s="409"/>
      <c r="J11" s="262"/>
      <c r="K11" s="262"/>
      <c r="L11" s="510"/>
      <c r="N11" s="12" t="str">
        <f>'Sch-1'!K11</f>
        <v xml:space="preserve">Sector-29, </v>
      </c>
      <c r="O11" s="501"/>
    </row>
    <row r="12" spans="1:16" s="509" customFormat="1">
      <c r="A12" s="409"/>
      <c r="B12" s="409"/>
      <c r="C12" s="838" t="str">
        <f>IF('Names of Bidder'!D12=0, "", 'Names of Bidder'!D12)</f>
        <v/>
      </c>
      <c r="D12" s="838"/>
      <c r="E12" s="838"/>
      <c r="F12" s="838"/>
      <c r="G12" s="838"/>
      <c r="H12" s="445"/>
      <c r="I12" s="409"/>
      <c r="J12" s="262"/>
      <c r="K12" s="262"/>
      <c r="L12" s="510"/>
      <c r="N12" s="12" t="str">
        <f>'Sch-1'!K12</f>
        <v>Gurgaon (Haryana) - 122001</v>
      </c>
      <c r="O12" s="501"/>
    </row>
    <row r="13" spans="1:16" s="509" customFormat="1">
      <c r="A13" s="409"/>
      <c r="B13" s="409"/>
      <c r="C13" s="596"/>
      <c r="D13" s="596"/>
      <c r="E13" s="596"/>
      <c r="F13" s="596"/>
      <c r="G13" s="596"/>
      <c r="H13" s="445"/>
      <c r="I13" s="409"/>
      <c r="J13" s="262"/>
      <c r="K13" s="262"/>
      <c r="L13" s="510"/>
      <c r="N13" s="12"/>
      <c r="O13" s="501"/>
    </row>
    <row r="14" spans="1:16" s="509" customFormat="1" ht="21" customHeight="1">
      <c r="A14" s="860" t="s">
        <v>26</v>
      </c>
      <c r="B14" s="860"/>
      <c r="C14" s="860"/>
      <c r="D14" s="860"/>
      <c r="E14" s="860"/>
      <c r="F14" s="860"/>
      <c r="G14" s="860"/>
      <c r="H14" s="860"/>
      <c r="I14" s="860"/>
      <c r="J14" s="860"/>
      <c r="K14" s="860"/>
      <c r="L14" s="860"/>
      <c r="M14" s="860"/>
      <c r="N14" s="860"/>
      <c r="O14" s="860"/>
      <c r="P14" s="860"/>
    </row>
    <row r="15" spans="1:16" s="509" customFormat="1" ht="63.75" customHeight="1">
      <c r="A15" s="488" t="s">
        <v>7</v>
      </c>
      <c r="B15" s="489" t="s">
        <v>266</v>
      </c>
      <c r="C15" s="489" t="s">
        <v>267</v>
      </c>
      <c r="D15" s="489" t="s">
        <v>277</v>
      </c>
      <c r="E15" s="489" t="s">
        <v>279</v>
      </c>
      <c r="F15" s="489" t="s">
        <v>280</v>
      </c>
      <c r="G15" s="488" t="s">
        <v>24</v>
      </c>
      <c r="H15" s="519" t="s">
        <v>324</v>
      </c>
      <c r="I15" s="520" t="s">
        <v>323</v>
      </c>
      <c r="J15" s="520" t="s">
        <v>312</v>
      </c>
      <c r="K15" s="520" t="s">
        <v>320</v>
      </c>
      <c r="L15" s="489" t="s">
        <v>14</v>
      </c>
      <c r="M15" s="490" t="s">
        <v>9</v>
      </c>
      <c r="N15" s="490" t="s">
        <v>15</v>
      </c>
      <c r="O15" s="491" t="s">
        <v>27</v>
      </c>
      <c r="P15" s="491" t="s">
        <v>28</v>
      </c>
    </row>
    <row r="16" spans="1:16" s="616" customFormat="1" ht="15">
      <c r="A16" s="613">
        <v>1</v>
      </c>
      <c r="B16" s="613">
        <v>2</v>
      </c>
      <c r="C16" s="613">
        <v>3</v>
      </c>
      <c r="D16" s="613">
        <v>4</v>
      </c>
      <c r="E16" s="613">
        <v>5</v>
      </c>
      <c r="F16" s="613">
        <v>6</v>
      </c>
      <c r="G16" s="613">
        <v>7</v>
      </c>
      <c r="H16" s="614">
        <v>8</v>
      </c>
      <c r="I16" s="614">
        <v>9</v>
      </c>
      <c r="J16" s="614">
        <v>10</v>
      </c>
      <c r="K16" s="614">
        <v>11</v>
      </c>
      <c r="L16" s="615">
        <v>12</v>
      </c>
      <c r="M16" s="613">
        <v>13</v>
      </c>
      <c r="N16" s="613">
        <v>14</v>
      </c>
      <c r="O16" s="613">
        <v>15</v>
      </c>
      <c r="P16" s="613" t="s">
        <v>322</v>
      </c>
    </row>
    <row r="17" spans="1:17">
      <c r="A17" s="505"/>
      <c r="B17" s="505"/>
      <c r="C17" s="505"/>
      <c r="D17" s="505"/>
      <c r="E17" s="505"/>
      <c r="F17" s="505"/>
      <c r="G17" s="505"/>
      <c r="H17" s="505"/>
      <c r="I17" s="505"/>
      <c r="J17" s="505"/>
      <c r="K17" s="505"/>
      <c r="L17" s="506"/>
      <c r="M17" s="505"/>
      <c r="N17" s="505"/>
      <c r="O17" s="505"/>
      <c r="P17" s="511"/>
    </row>
    <row r="18" spans="1:17" s="507" customFormat="1" ht="45" customHeight="1">
      <c r="A18" s="505"/>
      <c r="B18" s="513"/>
      <c r="C18" s="513"/>
      <c r="D18" s="513"/>
      <c r="F18" s="513"/>
      <c r="G18" s="513"/>
      <c r="H18" s="513"/>
      <c r="I18" s="602" t="s">
        <v>340</v>
      </c>
      <c r="J18" s="513"/>
      <c r="K18" s="513"/>
      <c r="L18" s="513"/>
      <c r="M18" s="513"/>
      <c r="N18" s="513"/>
      <c r="O18" s="513"/>
      <c r="P18" s="513"/>
    </row>
    <row r="19" spans="1:17" ht="26.25" customHeight="1">
      <c r="A19" s="505"/>
      <c r="B19" s="868"/>
      <c r="C19" s="869"/>
      <c r="D19" s="869"/>
      <c r="E19" s="869"/>
      <c r="F19" s="869"/>
      <c r="G19" s="869"/>
      <c r="H19" s="869"/>
      <c r="I19" s="869"/>
      <c r="J19" s="869"/>
      <c r="K19" s="870"/>
      <c r="L19" s="514"/>
      <c r="M19" s="514"/>
      <c r="N19" s="514"/>
      <c r="O19" s="514"/>
      <c r="P19" s="515"/>
      <c r="Q19" s="446"/>
    </row>
    <row r="20" spans="1:17" ht="27.75" customHeight="1">
      <c r="A20" s="865" t="s">
        <v>325</v>
      </c>
      <c r="B20" s="865"/>
      <c r="C20" s="865"/>
      <c r="D20" s="865"/>
      <c r="E20" s="865"/>
      <c r="F20" s="865"/>
      <c r="G20" s="865"/>
      <c r="H20" s="865"/>
      <c r="I20" s="865"/>
      <c r="J20" s="865"/>
      <c r="K20" s="865"/>
      <c r="L20" s="865"/>
      <c r="M20" s="865"/>
      <c r="N20" s="865"/>
      <c r="O20" s="865"/>
      <c r="P20" s="865"/>
      <c r="Q20" s="446"/>
    </row>
    <row r="21" spans="1:17" ht="39" customHeight="1">
      <c r="A21" s="866" t="s">
        <v>326</v>
      </c>
      <c r="B21" s="866"/>
      <c r="C21" s="866"/>
      <c r="D21" s="866"/>
      <c r="E21" s="866"/>
      <c r="F21" s="866"/>
      <c r="G21" s="866"/>
      <c r="H21" s="866"/>
      <c r="I21" s="866"/>
      <c r="J21" s="866"/>
      <c r="K21" s="866"/>
      <c r="L21" s="866"/>
      <c r="M21" s="866"/>
      <c r="N21" s="866"/>
      <c r="O21" s="866"/>
      <c r="P21" s="866"/>
      <c r="Q21" s="446"/>
    </row>
    <row r="23" spans="1:17" s="516" customFormat="1">
      <c r="B23" s="517" t="s">
        <v>317</v>
      </c>
      <c r="C23" s="864" t="str">
        <f>'Sch-3'!C109:D109</f>
        <v xml:space="preserve">  </v>
      </c>
      <c r="D23" s="863"/>
    </row>
    <row r="24" spans="1:17" s="516" customFormat="1">
      <c r="B24" s="517" t="s">
        <v>318</v>
      </c>
      <c r="C24" s="862" t="str">
        <f>'Sch-3'!C110:D110</f>
        <v/>
      </c>
      <c r="D24" s="863"/>
      <c r="L24" s="861" t="s">
        <v>319</v>
      </c>
      <c r="M24" s="861"/>
      <c r="N24" s="867" t="str">
        <f>'Sch-3'!O109</f>
        <v/>
      </c>
      <c r="O24" s="867"/>
      <c r="P24" s="867"/>
    </row>
    <row r="25" spans="1:17">
      <c r="L25" s="861" t="s">
        <v>124</v>
      </c>
      <c r="M25" s="861"/>
      <c r="N25" s="867" t="str">
        <f>'Sch-3'!O110</f>
        <v/>
      </c>
      <c r="O25" s="867"/>
      <c r="P25" s="867"/>
    </row>
  </sheetData>
  <sheetProtection password="CC6F" sheet="1" formatColumns="0" formatRows="0" selectLockedCells="1"/>
  <customSheetViews>
    <customSheetView guid="{858F61A7-D995-4540-8BB4-0D5C12D88289}" showPageBreaks="1" printArea="1" view="pageBreakPreview">
      <selection activeCell="R19" sqref="R19"/>
      <pageMargins left="0.7" right="0.7" top="0.75" bottom="0.75" header="0.3" footer="0.3"/>
      <pageSetup paperSize="9" scale="58" orientation="landscape" r:id="rId1"/>
    </customSheetView>
    <customSheetView guid="{CCA37BAE-906F-43D5-9FD9-B13563E4B9D7}" showPageBreaks="1" printArea="1" view="pageBreakPreview" topLeftCell="F10">
      <selection activeCell="R19" sqref="R19"/>
      <pageMargins left="0.7" right="0.7" top="0.75" bottom="0.75" header="0.3" footer="0.3"/>
      <pageSetup paperSize="9" scale="58" orientation="landscape" r:id="rId2"/>
    </customSheetView>
    <customSheetView guid="{CA9345C4-09FE-4F27-BFD9-3D9BCD2DED09}" showPageBreaks="1" printArea="1" view="pageBreakPreview" topLeftCell="F10">
      <selection activeCell="R19" sqref="R19"/>
      <pageMargins left="0.7" right="0.7" top="0.75" bottom="0.75" header="0.3" footer="0.3"/>
      <pageSetup paperSize="9" scale="58" orientation="landscape" r:id="rId3"/>
    </customSheetView>
    <customSheetView guid="{7AB1F867-F01E-4EB9-A93D-DDCFDB9AA444}" showPageBreaks="1" printArea="1" view="pageBreakPreview" topLeftCell="F10">
      <selection activeCell="R19" sqref="R19"/>
      <pageMargins left="0.7" right="0.7" top="0.75" bottom="0.75" header="0.3" footer="0.3"/>
      <pageSetup paperSize="9" scale="58" orientation="landscape" r:id="rId4"/>
    </customSheetView>
    <customSheetView guid="{B96E710B-6DD7-4DE1-95AB-C9EE060CD030}" scale="80" showPageBreaks="1" printArea="1" view="pageBreakPreview">
      <selection activeCell="G22" sqref="G22"/>
      <pageMargins left="0.7" right="0.7" top="0.75" bottom="0.75" header="0.3" footer="0.3"/>
      <pageSetup paperSize="9" scale="58" orientation="landscape" r:id="rId5"/>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8"/>
    </customSheetView>
    <customSheetView guid="{497EA202-A8B8-45C5-9E6C-C3CD104F3979}" showPageBreaks="1" printArea="1" view="pageBreakPreview">
      <selection activeCell="G39" sqref="G39"/>
      <pageMargins left="0.7" right="0.7" top="0.75" bottom="0.75" header="0.3" footer="0.3"/>
      <pageSetup paperSize="9" scale="58" orientation="landscape" r:id="rId9"/>
    </customSheetView>
    <customSheetView guid="{63D51328-7CBC-4A1E-B96D-BAE91416501B}" showPageBreaks="1" printArea="1" view="pageBreakPreview">
      <selection activeCell="G39" sqref="G39"/>
      <pageMargins left="0.7" right="0.7" top="0.75" bottom="0.75" header="0.3" footer="0.3"/>
      <pageSetup paperSize="9" scale="58" orientation="landscape" r:id="rId10"/>
    </customSheetView>
    <customSheetView guid="{D5521983-A70D-48A3-9506-C0263CBBC57D}" showPageBreaks="1" printArea="1" view="pageBreakPreview" topLeftCell="F10">
      <selection activeCell="R19" sqref="R19"/>
      <pageMargins left="0.7" right="0.7" top="0.75" bottom="0.75" header="0.3" footer="0.3"/>
      <pageSetup paperSize="9" scale="58" orientation="landscape" r:id="rId11"/>
    </customSheetView>
    <customSheetView guid="{12A89170-4F84-482D-A3C5-7890082E7B73}" showPageBreaks="1" printArea="1" view="pageBreakPreview" topLeftCell="F10">
      <selection activeCell="R19" sqref="R19"/>
      <pageMargins left="0.7" right="0.7" top="0.75" bottom="0.75" header="0.3" footer="0.3"/>
      <pageSetup paperSize="9" scale="58" orientation="landscape" r:id="rId12"/>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7" hidden="1" customWidth="1"/>
    <col min="10" max="10" width="14.42578125" style="387" hidden="1" customWidth="1"/>
    <col min="11" max="11" width="17.140625" style="387" hidden="1" customWidth="1"/>
    <col min="12" max="13" width="11.42578125" style="387" hidden="1" customWidth="1"/>
    <col min="14" max="14" width="21.28515625" style="387"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Specification No.: 5002002330/CONSULTANCY GIVEN/DOM/A06-CC CS -7</v>
      </c>
      <c r="B1" s="82"/>
      <c r="C1" s="83"/>
      <c r="D1" s="83"/>
      <c r="E1" s="84" t="s">
        <v>127</v>
      </c>
    </row>
    <row r="2" spans="1:15" ht="8.1" customHeight="1">
      <c r="A2" s="87"/>
      <c r="B2" s="88"/>
      <c r="C2" s="89"/>
      <c r="D2" s="89"/>
      <c r="E2" s="90"/>
      <c r="F2" s="91"/>
    </row>
    <row r="3" spans="1:15" ht="47.25" customHeight="1">
      <c r="A3" s="881" t="str">
        <f>Cover!$B$2</f>
        <v xml:space="preserve">Substation Package SS01 for extension of 400kV Gorakhpur Substation through GIS bays for termination of 400 KV D/C New Butwal - Gorakhpur Transmission Line under Cross Border Interconnection
</v>
      </c>
      <c r="B3" s="881"/>
      <c r="C3" s="881"/>
      <c r="D3" s="881"/>
      <c r="E3" s="881"/>
    </row>
    <row r="4" spans="1:15" ht="21.95" customHeight="1">
      <c r="A4" s="882" t="s">
        <v>128</v>
      </c>
      <c r="B4" s="882"/>
      <c r="C4" s="882"/>
      <c r="D4" s="882"/>
      <c r="E4" s="882"/>
    </row>
    <row r="5" spans="1:15" ht="12" customHeight="1">
      <c r="A5" s="92"/>
      <c r="B5" s="93"/>
      <c r="C5" s="93"/>
      <c r="D5" s="93"/>
      <c r="E5" s="93"/>
    </row>
    <row r="6" spans="1:15" ht="24" customHeight="1">
      <c r="A6" s="835" t="s">
        <v>352</v>
      </c>
      <c r="B6" s="835"/>
      <c r="C6" s="4"/>
      <c r="D6" s="352"/>
      <c r="E6" s="4"/>
      <c r="F6" s="4"/>
      <c r="G6" s="4"/>
      <c r="H6" s="4"/>
      <c r="I6" s="4"/>
    </row>
    <row r="7" spans="1:15" ht="18" customHeight="1">
      <c r="A7" s="840">
        <f>'Sch-1'!A7</f>
        <v>0</v>
      </c>
      <c r="B7" s="840"/>
      <c r="C7" s="840"/>
      <c r="D7" s="504" t="s">
        <v>1</v>
      </c>
      <c r="E7" s="595"/>
      <c r="F7" s="595"/>
      <c r="G7" s="595"/>
      <c r="H7" s="595"/>
      <c r="I7" s="595"/>
    </row>
    <row r="8" spans="1:15" ht="18" customHeight="1">
      <c r="A8" s="836" t="str">
        <f>"Bidder’s Name and Address  (" &amp; MID('Names of Bidder'!B9,9, 20) &amp; ") :"</f>
        <v>Bidder’s Name and Address  (Sole Bidder) :</v>
      </c>
      <c r="B8" s="836"/>
      <c r="C8" s="836"/>
      <c r="D8" s="12" t="s">
        <v>2</v>
      </c>
      <c r="E8" s="598"/>
      <c r="F8" s="598"/>
      <c r="G8" s="598"/>
      <c r="H8" s="549"/>
      <c r="I8" s="549"/>
    </row>
    <row r="9" spans="1:15" ht="18" customHeight="1">
      <c r="A9" s="462" t="s">
        <v>12</v>
      </c>
      <c r="B9" s="462" t="str">
        <f>IF('Names of Bidder'!D9=0, "", 'Names of Bidder'!D9)</f>
        <v/>
      </c>
      <c r="C9" s="112"/>
      <c r="D9" s="12" t="s">
        <v>3</v>
      </c>
      <c r="E9" s="597"/>
      <c r="F9" s="597"/>
      <c r="G9" s="597"/>
      <c r="H9" s="445"/>
      <c r="I9" s="409"/>
    </row>
    <row r="10" spans="1:15" ht="18" customHeight="1">
      <c r="A10" s="462" t="s">
        <v>11</v>
      </c>
      <c r="B10" s="596" t="str">
        <f>IF('Names of Bidder'!D10=0, "", 'Names of Bidder'!D10)</f>
        <v/>
      </c>
      <c r="C10" s="112"/>
      <c r="D10" s="12" t="s">
        <v>4</v>
      </c>
      <c r="E10" s="597"/>
      <c r="F10" s="597"/>
      <c r="G10" s="597"/>
      <c r="H10" s="445"/>
      <c r="I10" s="409"/>
    </row>
    <row r="11" spans="1:15" ht="18" customHeight="1">
      <c r="A11" s="409"/>
      <c r="B11" s="596" t="str">
        <f>IF('Names of Bidder'!D11=0, "", 'Names of Bidder'!D11)</f>
        <v/>
      </c>
      <c r="C11" s="112"/>
      <c r="D11" s="12" t="s">
        <v>5</v>
      </c>
      <c r="E11" s="597"/>
      <c r="F11" s="597"/>
      <c r="G11" s="597"/>
      <c r="H11" s="445"/>
      <c r="I11" s="409"/>
    </row>
    <row r="12" spans="1:15" ht="18" customHeight="1">
      <c r="A12" s="409"/>
      <c r="B12" s="596" t="str">
        <f>IF('Names of Bidder'!D12=0, "", 'Names of Bidder'!D12)</f>
        <v/>
      </c>
      <c r="C12" s="112"/>
      <c r="D12" s="12" t="s">
        <v>6</v>
      </c>
      <c r="E12" s="597"/>
      <c r="F12" s="597"/>
      <c r="G12" s="597"/>
      <c r="H12" s="445"/>
      <c r="I12" s="409"/>
    </row>
    <row r="13" spans="1:15" ht="8.1" customHeight="1" thickBot="1">
      <c r="B13" s="141"/>
    </row>
    <row r="14" spans="1:15" ht="21.95" customHeight="1">
      <c r="A14" s="662" t="s">
        <v>129</v>
      </c>
      <c r="B14" s="883" t="s">
        <v>130</v>
      </c>
      <c r="C14" s="883"/>
      <c r="D14" s="884" t="s">
        <v>131</v>
      </c>
      <c r="E14" s="885"/>
      <c r="I14" s="880" t="s">
        <v>132</v>
      </c>
      <c r="J14" s="880"/>
      <c r="K14" s="880"/>
      <c r="M14" s="873" t="s">
        <v>133</v>
      </c>
      <c r="N14" s="873"/>
      <c r="O14" s="873"/>
    </row>
    <row r="15" spans="1:15" ht="29.25" customHeight="1">
      <c r="A15" s="663" t="s">
        <v>134</v>
      </c>
      <c r="B15" s="874" t="s">
        <v>327</v>
      </c>
      <c r="C15" s="874"/>
      <c r="D15" s="875">
        <f>'Sch-1'!P126</f>
        <v>0</v>
      </c>
      <c r="E15" s="876"/>
      <c r="I15" s="388" t="s">
        <v>135</v>
      </c>
      <c r="K15" s="388" t="e">
        <f>ROUND('[6]Sch-1'!U3*#REF!,0)</f>
        <v>#REF!</v>
      </c>
      <c r="M15" s="388" t="s">
        <v>135</v>
      </c>
      <c r="O15" s="97" t="e">
        <f>ROUND('[6]Sch-1'!U5*#REF!,0)</f>
        <v>#REF!</v>
      </c>
    </row>
    <row r="16" spans="1:15" ht="87.75" customHeight="1">
      <c r="A16" s="664"/>
      <c r="B16" s="877" t="s">
        <v>328</v>
      </c>
      <c r="C16" s="877"/>
      <c r="D16" s="878"/>
      <c r="E16" s="879"/>
      <c r="G16" s="98"/>
    </row>
    <row r="17" spans="1:15" ht="25.5" customHeight="1">
      <c r="A17" s="663" t="s">
        <v>136</v>
      </c>
      <c r="B17" s="874" t="s">
        <v>329</v>
      </c>
      <c r="C17" s="874"/>
      <c r="D17" s="875">
        <f>'Sch-3'!R104</f>
        <v>0</v>
      </c>
      <c r="E17" s="876"/>
      <c r="I17" s="388" t="s">
        <v>137</v>
      </c>
      <c r="K17" s="389">
        <f>IF(ISERROR(ROUND((#REF!+#REF!)*#REF!,0)),0, ROUND((#REF!+#REF!)*#REF!,0))</f>
        <v>0</v>
      </c>
      <c r="M17" s="388" t="s">
        <v>137</v>
      </c>
      <c r="O17" s="100">
        <f>IF(ISERROR(ROUND((#REF!+#REF!)*#REF!,0)),0, ROUND((#REF!+#REF!)*#REF!,0))</f>
        <v>0</v>
      </c>
    </row>
    <row r="18" spans="1:15" ht="84" customHeight="1">
      <c r="A18" s="664"/>
      <c r="B18" s="877" t="s">
        <v>330</v>
      </c>
      <c r="C18" s="877"/>
      <c r="D18" s="890"/>
      <c r="E18" s="891"/>
      <c r="G18" s="101"/>
      <c r="I18" s="390" t="e">
        <f>#REF!/'Sch-1'!Y1</f>
        <v>#REF!</v>
      </c>
      <c r="K18" s="387">
        <f>'[6]Sch-1'!U3</f>
        <v>0</v>
      </c>
      <c r="M18" s="390" t="e">
        <f>I18</f>
        <v>#REF!</v>
      </c>
      <c r="O18" s="86">
        <f>'[6]Sch-1'!U5</f>
        <v>0</v>
      </c>
    </row>
    <row r="19" spans="1:15" ht="33" customHeight="1" thickBot="1">
      <c r="A19" s="665"/>
      <c r="B19" s="666" t="s">
        <v>333</v>
      </c>
      <c r="C19" s="667"/>
      <c r="D19" s="888">
        <f>D15+D17</f>
        <v>0</v>
      </c>
      <c r="E19" s="889"/>
    </row>
    <row r="20" spans="1:15" ht="30" customHeight="1">
      <c r="A20" s="102"/>
      <c r="B20" s="102"/>
      <c r="C20" s="103"/>
      <c r="D20" s="102"/>
      <c r="E20" s="102"/>
    </row>
    <row r="21" spans="1:15" ht="30" customHeight="1">
      <c r="A21" s="104" t="s">
        <v>142</v>
      </c>
      <c r="B21" s="670" t="str">
        <f>'Names of Bidder'!D27&amp;" "&amp;'Names of Bidder'!E27&amp;" "&amp;'Names of Bidder'!F27</f>
        <v xml:space="preserve">  </v>
      </c>
      <c r="C21" s="103" t="s">
        <v>143</v>
      </c>
      <c r="D21" s="886" t="str">
        <f>IF('Names of Bidder'!D24="","",'Names of Bidder'!D24)</f>
        <v/>
      </c>
      <c r="E21" s="887"/>
      <c r="F21" s="105"/>
    </row>
    <row r="22" spans="1:15" ht="30" customHeight="1">
      <c r="A22" s="104" t="s">
        <v>144</v>
      </c>
      <c r="B22" s="748" t="str">
        <f>IF('Names of Bidder'!D28="","",'Names of Bidder'!D28)</f>
        <v/>
      </c>
      <c r="C22" s="103" t="s">
        <v>145</v>
      </c>
      <c r="D22" s="886" t="str">
        <f>IF('Names of Bidder'!D25="","",'Names of Bidder'!D25)</f>
        <v/>
      </c>
      <c r="E22" s="887"/>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6F" sheet="1" formatColumns="0" formatRows="0" selectLockedCells="1"/>
  <dataConsolidate/>
  <customSheetViews>
    <customSheetView guid="{858F61A7-D995-4540-8BB4-0D5C12D88289}" showPageBreaks="1" printArea="1" hiddenColumns="1" view="pageBreakPreview">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hiddenColumns="1" view="pageBreakPreview" topLeftCell="A4">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CA9345C4-09FE-4F27-BFD9-3D9BCD2DED09}"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7AB1F867-F01E-4EB9-A93D-DDCFDB9AA444}"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497EA202-A8B8-45C5-9E6C-C3CD104F3979}" showPageBreaks="1" printArea="1" hiddenColumns="1" view="pageBreakPreview" topLeftCell="A7">
      <selection activeCell="AA16" sqref="AA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63D51328-7CBC-4A1E-B96D-BAE91416501B}" showPageBreaks="1" printArea="1" hiddenColumns="1" view="pageBreakPreview" topLeftCell="A4">
      <selection activeCell="C25" sqref="C25"/>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D5521983-A70D-48A3-9506-C0263CBBC57D}"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12A89170-4F84-482D-A3C5-7890082E7B73}"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Chandra Kr. Kamat {चंद्र कुमार कामत}</cp:lastModifiedBy>
  <cp:lastPrinted>2020-03-02T10:19:24Z</cp:lastPrinted>
  <dcterms:created xsi:type="dcterms:W3CDTF">2014-08-12T11:34:40Z</dcterms:created>
  <dcterms:modified xsi:type="dcterms:W3CDTF">2022-07-08T11:41:23Z</dcterms:modified>
</cp:coreProperties>
</file>